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9001"/>
  <workbookPr/>
  <mc:AlternateContent xmlns:mc="http://schemas.openxmlformats.org/markup-compatibility/2006">
    <mc:Choice Requires="x15">
      <x15ac:absPath xmlns:x15ac="http://schemas.microsoft.com/office/spreadsheetml/2010/11/ac" url="C:\Users\Lorn MacIlravie\Documents\HTML\files\"/>
    </mc:Choice>
  </mc:AlternateContent>
  <bookViews>
    <workbookView xWindow="0" yWindow="0" windowWidth="19200" windowHeight="6945" tabRatio="919" firstSheet="2" activeTab="5" xr2:uid="{00000000-000D-0000-FFFF-FFFF00000000}"/>
  </bookViews>
  <sheets>
    <sheet name="Notes" sheetId="1" r:id="rId1"/>
    <sheet name="Ref." sheetId="2" r:id="rId2"/>
    <sheet name="Fuses and OL" sheetId="7" r:id="rId3"/>
    <sheet name="Max Amps" sheetId="4" r:id="rId4"/>
    <sheet name="VD 2" sheetId="44" r:id="rId5"/>
    <sheet name="HP KVA KW 2" sheetId="57" r:id="rId6"/>
    <sheet name="Quick S.C." sheetId="10" r:id="rId7"/>
    <sheet name="PD Pumps" sheetId="19" r:id="rId8"/>
    <sheet name="460 Motors" sheetId="51" r:id="rId9"/>
    <sheet name="460 Motors 2X" sheetId="50" r:id="rId10"/>
    <sheet name="Single Phase Motors" sheetId="49" r:id="rId11"/>
    <sheet name="Conduit Fill" sheetId="56" r:id="rId12"/>
    <sheet name="Wire Size" sheetId="63" r:id="rId13"/>
    <sheet name="Feeder" sheetId="41" r:id="rId14"/>
    <sheet name="Motor Data" sheetId="58" r:id="rId15"/>
    <sheet name="VFD Test" sheetId="64" r:id="rId16"/>
    <sheet name="Rod Pump Flow" sheetId="32" r:id="rId17"/>
    <sheet name="Diff 2 Dates" sheetId="22" r:id="rId18"/>
    <sheet name="Resistors" sheetId="60" r:id="rId19"/>
    <sheet name="Quick Load" sheetId="37" r:id="rId20"/>
    <sheet name="Bucket Test" sheetId="25" r:id="rId21"/>
    <sheet name="NEMA SIZE" sheetId="27" r:id="rId22"/>
    <sheet name="Transducers" sheetId="21" r:id="rId23"/>
    <sheet name="GAIN BIAS" sheetId="33" r:id="rId24"/>
    <sheet name="MARKUP" sheetId="34" r:id="rId25"/>
    <sheet name="BHP" sheetId="36" r:id="rId26"/>
    <sheet name="RPM" sheetId="46" r:id="rId27"/>
    <sheet name="Torque" sheetId="47" r:id="rId28"/>
    <sheet name="NEMA Temp" sheetId="54" r:id="rId29"/>
    <sheet name="Field VD 2" sheetId="45" r:id="rId30"/>
    <sheet name="CM to AWG" sheetId="65" r:id="rId31"/>
    <sheet name="AWG to CM" sheetId="66" r:id="rId32"/>
    <sheet name="Field VD" sheetId="12" r:id="rId33"/>
    <sheet name="CMIL" sheetId="3" r:id="rId34"/>
    <sheet name="VD" sheetId="5" r:id="rId35"/>
    <sheet name="Z" sheetId="6" r:id="rId36"/>
    <sheet name="HP KVA KW " sheetId="8" r:id="rId37"/>
    <sheet name="Ohm s Law" sheetId="9" r:id="rId38"/>
    <sheet name="SC Calc." sheetId="11" r:id="rId39"/>
    <sheet name="MAX CAPS" sheetId="13" r:id="rId40"/>
    <sheet name="Cap. Calc." sheetId="14" r:id="rId41"/>
    <sheet name="Bends" sheetId="15" r:id="rId42"/>
    <sheet name="777" sheetId="16" r:id="rId43"/>
    <sheet name="PSI SG" sheetId="18" r:id="rId44"/>
    <sheet name="Gas Laws" sheetId="23" r:id="rId45"/>
    <sheet name="Solar" sheetId="24" r:id="rId46"/>
    <sheet name="API" sheetId="26" r:id="rId47"/>
    <sheet name="Basic Motors" sheetId="30" r:id="rId48"/>
    <sheet name="Standard Calc" sheetId="53" r:id="rId49"/>
    <sheet name="Optional Calc" sheetId="52" r:id="rId50"/>
    <sheet name="Winding Temp" sheetId="55" r:id="rId51"/>
    <sheet name="KVA" sheetId="59" r:id="rId52"/>
  </sheets>
  <definedNames>
    <definedName name="_1.732_or_2" localSheetId="4">'Field VD 2'!$D$4:$D$8</definedName>
    <definedName name="Cmils" localSheetId="29">'Field VD 2'!$K$4</definedName>
    <definedName name="E" localSheetId="5">'HP KVA KW 2'!$B$8</definedName>
    <definedName name="EFF" localSheetId="5">'HP KVA KW 2'!$B$5</definedName>
    <definedName name="HP" localSheetId="5">'HP KVA KW 2'!$B$3</definedName>
    <definedName name="I" localSheetId="5">'HP KVA KW 2'!$B$9</definedName>
    <definedName name="K" localSheetId="33">CMIL!$B$4</definedName>
    <definedName name="k" localSheetId="29">'Field VD 2'!$E$13:$E$17</definedName>
    <definedName name="K" localSheetId="3">'Max Amps'!#REF!</definedName>
    <definedName name="k" localSheetId="4">'Field VD 2'!$E$4:$E$8</definedName>
    <definedName name="KVA" localSheetId="5">'HP KVA KW 2'!$B$7</definedName>
    <definedName name="KVAHP" localSheetId="5">'HP KVA KW 2'!$H$21</definedName>
    <definedName name="KW" localSheetId="5">'HP KVA KW 2'!$B$6</definedName>
    <definedName name="PF" localSheetId="5">'HP KVA KW 2'!$B$4</definedName>
    <definedName name="Phase" localSheetId="33">CMIL!$B$3</definedName>
    <definedName name="Phase" localSheetId="3">'Max Amps'!$B$3</definedName>
    <definedName name="_xlnm.Print_Area" localSheetId="31">'AWG to CM'!$A$1:$Z$53</definedName>
    <definedName name="_xlnm.Print_Area" localSheetId="20">'Bucket Test'!$A$1:$E$69</definedName>
    <definedName name="_xlnm.Print_Area" localSheetId="13">Feeder!$A$1:$U$72</definedName>
    <definedName name="_xlnm.Print_Area" localSheetId="29">'Field VD 2'!$A$1:$O$23</definedName>
    <definedName name="_xlnm.Print_Area" localSheetId="14">'Motor Data'!$A$1:$J$99</definedName>
    <definedName name="_xlnm.Print_Area" localSheetId="26">RPM!$A$1:$L$54</definedName>
    <definedName name="_xlnm.Print_Area" localSheetId="48">'Standard Calc'!$A$1:$J$94</definedName>
    <definedName name="_xlnm.Print_Area" localSheetId="27">Torque!$A$1:$L$42</definedName>
    <definedName name="_xlnm.Print_Area" localSheetId="4">'VD 2'!$A$1:$C$33</definedName>
    <definedName name="Wire_Size" localSheetId="29">'Field VD 2'!$L$4:$L$8</definedName>
    <definedName name="wiresize" localSheetId="29">'Field VD 2'!$L$13:$L$17</definedName>
    <definedName name="wiresize" localSheetId="4">'Field VD 2'!$L$4:$L$8</definedName>
  </definedNames>
  <calcPr calcId="171027" iterateDelta="1E-4"/>
</workbook>
</file>

<file path=xl/calcChain.xml><?xml version="1.0" encoding="utf-8"?>
<calcChain xmlns="http://schemas.openxmlformats.org/spreadsheetml/2006/main">
  <c r="Z53" i="66" l="1"/>
  <c r="Y53" i="66"/>
  <c r="X53" i="66"/>
  <c r="W53" i="66"/>
  <c r="V53" i="66"/>
  <c r="U53" i="66"/>
  <c r="T53" i="66"/>
  <c r="S53" i="66"/>
  <c r="Q53" i="66"/>
  <c r="P53" i="66"/>
  <c r="O53" i="66"/>
  <c r="N53" i="66"/>
  <c r="M53" i="66"/>
  <c r="L53" i="66"/>
  <c r="K53" i="66"/>
  <c r="J53" i="66"/>
  <c r="H53" i="66"/>
  <c r="G53" i="66"/>
  <c r="F53" i="66"/>
  <c r="E53" i="66"/>
  <c r="D53" i="66"/>
  <c r="C53" i="66"/>
  <c r="B53" i="66"/>
  <c r="A53" i="66"/>
  <c r="Z52" i="66"/>
  <c r="Y52" i="66"/>
  <c r="X52" i="66"/>
  <c r="W52" i="66"/>
  <c r="V52" i="66"/>
  <c r="U52" i="66"/>
  <c r="T52" i="66"/>
  <c r="S52" i="66"/>
  <c r="Q52" i="66"/>
  <c r="P52" i="66"/>
  <c r="O52" i="66"/>
  <c r="N52" i="66"/>
  <c r="M52" i="66"/>
  <c r="L52" i="66"/>
  <c r="K52" i="66"/>
  <c r="J52" i="66"/>
  <c r="H52" i="66"/>
  <c r="G52" i="66"/>
  <c r="F52" i="66"/>
  <c r="E52" i="66"/>
  <c r="D52" i="66"/>
  <c r="C52" i="66"/>
  <c r="B52" i="66"/>
  <c r="A52" i="66"/>
  <c r="Z51" i="66"/>
  <c r="Y51" i="66"/>
  <c r="X51" i="66"/>
  <c r="W51" i="66"/>
  <c r="V51" i="66"/>
  <c r="U51" i="66"/>
  <c r="T51" i="66"/>
  <c r="S51" i="66"/>
  <c r="Q51" i="66"/>
  <c r="P51" i="66"/>
  <c r="O51" i="66"/>
  <c r="N51" i="66"/>
  <c r="M51" i="66"/>
  <c r="L51" i="66"/>
  <c r="K51" i="66"/>
  <c r="J51" i="66"/>
  <c r="H51" i="66"/>
  <c r="G51" i="66"/>
  <c r="F51" i="66"/>
  <c r="E51" i="66"/>
  <c r="D51" i="66"/>
  <c r="C51" i="66"/>
  <c r="B51" i="66"/>
  <c r="A51" i="66"/>
  <c r="Z50" i="66"/>
  <c r="Y50" i="66"/>
  <c r="X50" i="66"/>
  <c r="W50" i="66"/>
  <c r="V50" i="66"/>
  <c r="U50" i="66"/>
  <c r="T50" i="66"/>
  <c r="S50" i="66"/>
  <c r="Q50" i="66"/>
  <c r="P50" i="66"/>
  <c r="O50" i="66"/>
  <c r="N50" i="66"/>
  <c r="M50" i="66"/>
  <c r="L50" i="66"/>
  <c r="K50" i="66"/>
  <c r="J50" i="66"/>
  <c r="H50" i="66"/>
  <c r="G50" i="66"/>
  <c r="F50" i="66"/>
  <c r="E50" i="66"/>
  <c r="D50" i="66"/>
  <c r="C50" i="66"/>
  <c r="B50" i="66"/>
  <c r="A50" i="66"/>
  <c r="Z49" i="66"/>
  <c r="Y49" i="66"/>
  <c r="X49" i="66"/>
  <c r="W49" i="66"/>
  <c r="V49" i="66"/>
  <c r="U49" i="66"/>
  <c r="T49" i="66"/>
  <c r="S49" i="66"/>
  <c r="Q49" i="66"/>
  <c r="P49" i="66"/>
  <c r="O49" i="66"/>
  <c r="N49" i="66"/>
  <c r="M49" i="66"/>
  <c r="L49" i="66"/>
  <c r="K49" i="66"/>
  <c r="J49" i="66"/>
  <c r="H49" i="66"/>
  <c r="G49" i="66"/>
  <c r="F49" i="66"/>
  <c r="E49" i="66"/>
  <c r="D49" i="66"/>
  <c r="C49" i="66"/>
  <c r="B49" i="66"/>
  <c r="A49" i="66"/>
  <c r="Z48" i="66"/>
  <c r="Y48" i="66"/>
  <c r="X48" i="66"/>
  <c r="W48" i="66"/>
  <c r="V48" i="66"/>
  <c r="U48" i="66"/>
  <c r="T48" i="66"/>
  <c r="S48" i="66"/>
  <c r="Q48" i="66"/>
  <c r="P48" i="66"/>
  <c r="O48" i="66"/>
  <c r="N48" i="66"/>
  <c r="M48" i="66"/>
  <c r="L48" i="66"/>
  <c r="K48" i="66"/>
  <c r="J48" i="66"/>
  <c r="H48" i="66"/>
  <c r="G48" i="66"/>
  <c r="F48" i="66"/>
  <c r="E48" i="66"/>
  <c r="D48" i="66"/>
  <c r="C48" i="66"/>
  <c r="B48" i="66"/>
  <c r="A48" i="66"/>
  <c r="Z47" i="66"/>
  <c r="Y47" i="66"/>
  <c r="X47" i="66"/>
  <c r="W47" i="66"/>
  <c r="V47" i="66"/>
  <c r="U47" i="66"/>
  <c r="T47" i="66"/>
  <c r="S47" i="66"/>
  <c r="Q47" i="66"/>
  <c r="P47" i="66"/>
  <c r="O47" i="66"/>
  <c r="N47" i="66"/>
  <c r="M47" i="66"/>
  <c r="L47" i="66"/>
  <c r="K47" i="66"/>
  <c r="J47" i="66"/>
  <c r="H47" i="66"/>
  <c r="G47" i="66"/>
  <c r="F47" i="66"/>
  <c r="E47" i="66"/>
  <c r="D47" i="66"/>
  <c r="C47" i="66"/>
  <c r="B47" i="66"/>
  <c r="A47" i="66"/>
  <c r="Z46" i="66"/>
  <c r="Y46" i="66"/>
  <c r="X46" i="66"/>
  <c r="W46" i="66"/>
  <c r="V46" i="66"/>
  <c r="U46" i="66"/>
  <c r="T46" i="66"/>
  <c r="S46" i="66"/>
  <c r="Q46" i="66"/>
  <c r="P46" i="66"/>
  <c r="O46" i="66"/>
  <c r="N46" i="66"/>
  <c r="M46" i="66"/>
  <c r="L46" i="66"/>
  <c r="K46" i="66"/>
  <c r="J46" i="66"/>
  <c r="H46" i="66"/>
  <c r="G46" i="66"/>
  <c r="F46" i="66"/>
  <c r="E46" i="66"/>
  <c r="D46" i="66"/>
  <c r="C46" i="66"/>
  <c r="B46" i="66"/>
  <c r="A46" i="66"/>
  <c r="Z45" i="66"/>
  <c r="Y45" i="66"/>
  <c r="X45" i="66"/>
  <c r="W45" i="66"/>
  <c r="V45" i="66"/>
  <c r="U45" i="66"/>
  <c r="T45" i="66"/>
  <c r="S45" i="66"/>
  <c r="Q45" i="66"/>
  <c r="P45" i="66"/>
  <c r="O45" i="66"/>
  <c r="N45" i="66"/>
  <c r="M45" i="66"/>
  <c r="L45" i="66"/>
  <c r="K45" i="66"/>
  <c r="J45" i="66"/>
  <c r="H45" i="66"/>
  <c r="G45" i="66"/>
  <c r="F45" i="66"/>
  <c r="E45" i="66"/>
  <c r="D45" i="66"/>
  <c r="C45" i="66"/>
  <c r="B45" i="66"/>
  <c r="A45" i="66"/>
  <c r="Z44" i="66"/>
  <c r="Y44" i="66"/>
  <c r="X44" i="66"/>
  <c r="W44" i="66"/>
  <c r="V44" i="66"/>
  <c r="U44" i="66"/>
  <c r="T44" i="66"/>
  <c r="S44" i="66"/>
  <c r="Q44" i="66"/>
  <c r="P44" i="66"/>
  <c r="O44" i="66"/>
  <c r="N44" i="66"/>
  <c r="M44" i="66"/>
  <c r="L44" i="66"/>
  <c r="K44" i="66"/>
  <c r="J44" i="66"/>
  <c r="H44" i="66"/>
  <c r="G44" i="66"/>
  <c r="F44" i="66"/>
  <c r="E44" i="66"/>
  <c r="D44" i="66"/>
  <c r="C44" i="66"/>
  <c r="B44" i="66"/>
  <c r="A44" i="66"/>
  <c r="Z43" i="66"/>
  <c r="Y43" i="66"/>
  <c r="X43" i="66"/>
  <c r="W43" i="66"/>
  <c r="V43" i="66"/>
  <c r="U43" i="66"/>
  <c r="T43" i="66"/>
  <c r="S43" i="66"/>
  <c r="Q43" i="66"/>
  <c r="P43" i="66"/>
  <c r="O43" i="66"/>
  <c r="N43" i="66"/>
  <c r="M43" i="66"/>
  <c r="L43" i="66"/>
  <c r="K43" i="66"/>
  <c r="J43" i="66"/>
  <c r="H43" i="66"/>
  <c r="G43" i="66"/>
  <c r="F43" i="66"/>
  <c r="E43" i="66"/>
  <c r="D43" i="66"/>
  <c r="C43" i="66"/>
  <c r="B43" i="66"/>
  <c r="A43" i="66"/>
  <c r="Z42" i="66"/>
  <c r="Y42" i="66"/>
  <c r="X42" i="66"/>
  <c r="W42" i="66"/>
  <c r="V42" i="66"/>
  <c r="U42" i="66"/>
  <c r="T42" i="66"/>
  <c r="S42" i="66"/>
  <c r="Q42" i="66"/>
  <c r="P42" i="66"/>
  <c r="O42" i="66"/>
  <c r="N42" i="66"/>
  <c r="M42" i="66"/>
  <c r="L42" i="66"/>
  <c r="K42" i="66"/>
  <c r="J42" i="66"/>
  <c r="H42" i="66"/>
  <c r="G42" i="66"/>
  <c r="F42" i="66"/>
  <c r="E42" i="66"/>
  <c r="D42" i="66"/>
  <c r="C42" i="66"/>
  <c r="B42" i="66"/>
  <c r="A42" i="66"/>
  <c r="Z41" i="66"/>
  <c r="Y41" i="66"/>
  <c r="X41" i="66"/>
  <c r="W41" i="66"/>
  <c r="V41" i="66"/>
  <c r="U41" i="66"/>
  <c r="T41" i="66"/>
  <c r="S41" i="66"/>
  <c r="Q41" i="66"/>
  <c r="P41" i="66"/>
  <c r="O41" i="66"/>
  <c r="N41" i="66"/>
  <c r="M41" i="66"/>
  <c r="L41" i="66"/>
  <c r="K41" i="66"/>
  <c r="J41" i="66"/>
  <c r="H41" i="66"/>
  <c r="G41" i="66"/>
  <c r="F41" i="66"/>
  <c r="E41" i="66"/>
  <c r="D41" i="66"/>
  <c r="C41" i="66"/>
  <c r="B41" i="66"/>
  <c r="A41" i="66"/>
  <c r="Z40" i="66"/>
  <c r="Y40" i="66"/>
  <c r="X40" i="66"/>
  <c r="W40" i="66"/>
  <c r="V40" i="66"/>
  <c r="U40" i="66"/>
  <c r="T40" i="66"/>
  <c r="S40" i="66"/>
  <c r="Q40" i="66"/>
  <c r="P40" i="66"/>
  <c r="O40" i="66"/>
  <c r="N40" i="66"/>
  <c r="M40" i="66"/>
  <c r="L40" i="66"/>
  <c r="K40" i="66"/>
  <c r="J40" i="66"/>
  <c r="H40" i="66"/>
  <c r="G40" i="66"/>
  <c r="F40" i="66"/>
  <c r="E40" i="66"/>
  <c r="D40" i="66"/>
  <c r="C40" i="66"/>
  <c r="B40" i="66"/>
  <c r="A40" i="66"/>
  <c r="Z39" i="66"/>
  <c r="Y39" i="66"/>
  <c r="X39" i="66"/>
  <c r="W39" i="66"/>
  <c r="V39" i="66"/>
  <c r="U39" i="66"/>
  <c r="T39" i="66"/>
  <c r="S39" i="66"/>
  <c r="Q39" i="66"/>
  <c r="P39" i="66"/>
  <c r="O39" i="66"/>
  <c r="N39" i="66"/>
  <c r="M39" i="66"/>
  <c r="L39" i="66"/>
  <c r="K39" i="66"/>
  <c r="J39" i="66"/>
  <c r="H39" i="66"/>
  <c r="G39" i="66"/>
  <c r="F39" i="66"/>
  <c r="E39" i="66"/>
  <c r="D39" i="66"/>
  <c r="C39" i="66"/>
  <c r="B39" i="66"/>
  <c r="A39" i="66"/>
  <c r="Z38" i="66"/>
  <c r="Y38" i="66"/>
  <c r="X38" i="66"/>
  <c r="W38" i="66"/>
  <c r="V38" i="66"/>
  <c r="U38" i="66"/>
  <c r="T38" i="66"/>
  <c r="S38" i="66"/>
  <c r="Q38" i="66"/>
  <c r="P38" i="66"/>
  <c r="O38" i="66"/>
  <c r="N38" i="66"/>
  <c r="M38" i="66"/>
  <c r="L38" i="66"/>
  <c r="K38" i="66"/>
  <c r="J38" i="66"/>
  <c r="H38" i="66"/>
  <c r="G38" i="66"/>
  <c r="F38" i="66"/>
  <c r="E38" i="66"/>
  <c r="D38" i="66"/>
  <c r="C38" i="66"/>
  <c r="B38" i="66"/>
  <c r="A38" i="66"/>
  <c r="Z37" i="66"/>
  <c r="Y37" i="66"/>
  <c r="X37" i="66"/>
  <c r="W37" i="66"/>
  <c r="V37" i="66"/>
  <c r="U37" i="66"/>
  <c r="T37" i="66"/>
  <c r="S37" i="66"/>
  <c r="Q37" i="66"/>
  <c r="P37" i="66"/>
  <c r="O37" i="66"/>
  <c r="N37" i="66"/>
  <c r="M37" i="66"/>
  <c r="L37" i="66"/>
  <c r="K37" i="66"/>
  <c r="J37" i="66"/>
  <c r="H37" i="66"/>
  <c r="G37" i="66"/>
  <c r="F37" i="66"/>
  <c r="E37" i="66"/>
  <c r="D37" i="66"/>
  <c r="C37" i="66"/>
  <c r="B37" i="66"/>
  <c r="A37" i="66"/>
  <c r="Z36" i="66"/>
  <c r="Y36" i="66"/>
  <c r="X36" i="66"/>
  <c r="W36" i="66"/>
  <c r="V36" i="66"/>
  <c r="U36" i="66"/>
  <c r="T36" i="66"/>
  <c r="S36" i="66"/>
  <c r="Q36" i="66"/>
  <c r="P36" i="66"/>
  <c r="O36" i="66"/>
  <c r="N36" i="66"/>
  <c r="M36" i="66"/>
  <c r="L36" i="66"/>
  <c r="K36" i="66"/>
  <c r="J36" i="66"/>
  <c r="H36" i="66"/>
  <c r="G36" i="66"/>
  <c r="F36" i="66"/>
  <c r="E36" i="66"/>
  <c r="D36" i="66"/>
  <c r="C36" i="66"/>
  <c r="B36" i="66"/>
  <c r="A36" i="66"/>
  <c r="Z35" i="66"/>
  <c r="Y35" i="66"/>
  <c r="X35" i="66"/>
  <c r="W35" i="66"/>
  <c r="V35" i="66"/>
  <c r="U35" i="66"/>
  <c r="T35" i="66"/>
  <c r="S35" i="66"/>
  <c r="Q35" i="66"/>
  <c r="P35" i="66"/>
  <c r="O35" i="66"/>
  <c r="N35" i="66"/>
  <c r="M35" i="66"/>
  <c r="L35" i="66"/>
  <c r="K35" i="66"/>
  <c r="J35" i="66"/>
  <c r="H35" i="66"/>
  <c r="G35" i="66"/>
  <c r="F35" i="66"/>
  <c r="E35" i="66"/>
  <c r="D35" i="66"/>
  <c r="C35" i="66"/>
  <c r="B35" i="66"/>
  <c r="A35" i="66"/>
  <c r="T33" i="66"/>
  <c r="S33" i="66"/>
  <c r="K33" i="66"/>
  <c r="J33" i="66"/>
  <c r="B33" i="66"/>
  <c r="A33" i="66"/>
  <c r="Z31" i="66"/>
  <c r="Y31" i="66"/>
  <c r="X31" i="66"/>
  <c r="W31" i="66"/>
  <c r="V31" i="66"/>
  <c r="U31" i="66"/>
  <c r="T31" i="66"/>
  <c r="S31" i="66"/>
  <c r="Q31" i="66"/>
  <c r="P31" i="66"/>
  <c r="O31" i="66"/>
  <c r="N31" i="66"/>
  <c r="M31" i="66"/>
  <c r="L31" i="66"/>
  <c r="K31" i="66"/>
  <c r="J31" i="66"/>
  <c r="Z30" i="66"/>
  <c r="Y30" i="66"/>
  <c r="X30" i="66"/>
  <c r="W30" i="66"/>
  <c r="V30" i="66"/>
  <c r="U30" i="66"/>
  <c r="T30" i="66"/>
  <c r="S30" i="66"/>
  <c r="Q30" i="66"/>
  <c r="P30" i="66"/>
  <c r="O30" i="66"/>
  <c r="N30" i="66"/>
  <c r="M30" i="66"/>
  <c r="L30" i="66"/>
  <c r="K30" i="66"/>
  <c r="J30" i="66"/>
  <c r="Z29" i="66"/>
  <c r="Y29" i="66"/>
  <c r="X29" i="66"/>
  <c r="W29" i="66"/>
  <c r="V29" i="66"/>
  <c r="U29" i="66"/>
  <c r="T29" i="66"/>
  <c r="S29" i="66"/>
  <c r="Q29" i="66"/>
  <c r="P29" i="66"/>
  <c r="O29" i="66"/>
  <c r="N29" i="66"/>
  <c r="M29" i="66"/>
  <c r="L29" i="66"/>
  <c r="K29" i="66"/>
  <c r="J29" i="66"/>
  <c r="Z28" i="66"/>
  <c r="Y28" i="66"/>
  <c r="X28" i="66"/>
  <c r="W28" i="66"/>
  <c r="V28" i="66"/>
  <c r="U28" i="66"/>
  <c r="T28" i="66"/>
  <c r="S28" i="66"/>
  <c r="Q28" i="66"/>
  <c r="P28" i="66"/>
  <c r="O28" i="66"/>
  <c r="N28" i="66"/>
  <c r="M28" i="66"/>
  <c r="L28" i="66"/>
  <c r="K28" i="66"/>
  <c r="J28" i="66"/>
  <c r="Z27" i="66"/>
  <c r="Y27" i="66"/>
  <c r="X27" i="66"/>
  <c r="W27" i="66"/>
  <c r="V27" i="66"/>
  <c r="U27" i="66"/>
  <c r="T27" i="66"/>
  <c r="S27" i="66"/>
  <c r="Q27" i="66"/>
  <c r="P27" i="66"/>
  <c r="O27" i="66"/>
  <c r="N27" i="66"/>
  <c r="M27" i="66"/>
  <c r="L27" i="66"/>
  <c r="K27" i="66"/>
  <c r="J27" i="66"/>
  <c r="Z26" i="66"/>
  <c r="Y26" i="66"/>
  <c r="X26" i="66"/>
  <c r="W26" i="66"/>
  <c r="V26" i="66"/>
  <c r="U26" i="66"/>
  <c r="T26" i="66"/>
  <c r="S26" i="66"/>
  <c r="Q26" i="66"/>
  <c r="P26" i="66"/>
  <c r="O26" i="66"/>
  <c r="N26" i="66"/>
  <c r="M26" i="66"/>
  <c r="L26" i="66"/>
  <c r="K26" i="66"/>
  <c r="J26" i="66"/>
  <c r="Z25" i="66"/>
  <c r="Y25" i="66"/>
  <c r="X25" i="66"/>
  <c r="W25" i="66"/>
  <c r="V25" i="66"/>
  <c r="U25" i="66"/>
  <c r="T25" i="66"/>
  <c r="S25" i="66"/>
  <c r="Q25" i="66"/>
  <c r="P25" i="66"/>
  <c r="O25" i="66"/>
  <c r="N25" i="66"/>
  <c r="M25" i="66"/>
  <c r="L25" i="66"/>
  <c r="K25" i="66"/>
  <c r="J25" i="66"/>
  <c r="Z24" i="66"/>
  <c r="Y24" i="66"/>
  <c r="X24" i="66"/>
  <c r="W24" i="66"/>
  <c r="V24" i="66"/>
  <c r="U24" i="66"/>
  <c r="T24" i="66"/>
  <c r="S24" i="66"/>
  <c r="Q24" i="66"/>
  <c r="P24" i="66"/>
  <c r="O24" i="66"/>
  <c r="N24" i="66"/>
  <c r="M24" i="66"/>
  <c r="L24" i="66"/>
  <c r="K24" i="66"/>
  <c r="J24" i="66"/>
  <c r="Z23" i="66"/>
  <c r="Y23" i="66"/>
  <c r="X23" i="66"/>
  <c r="W23" i="66"/>
  <c r="V23" i="66"/>
  <c r="U23" i="66"/>
  <c r="T23" i="66"/>
  <c r="S23" i="66"/>
  <c r="Q23" i="66"/>
  <c r="P23" i="66"/>
  <c r="O23" i="66"/>
  <c r="N23" i="66"/>
  <c r="M23" i="66"/>
  <c r="L23" i="66"/>
  <c r="K23" i="66"/>
  <c r="J23" i="66"/>
  <c r="Z22" i="66"/>
  <c r="Y22" i="66"/>
  <c r="X22" i="66"/>
  <c r="W22" i="66"/>
  <c r="V22" i="66"/>
  <c r="U22" i="66"/>
  <c r="T22" i="66"/>
  <c r="S22" i="66"/>
  <c r="Q22" i="66"/>
  <c r="P22" i="66"/>
  <c r="O22" i="66"/>
  <c r="N22" i="66"/>
  <c r="M22" i="66"/>
  <c r="L22" i="66"/>
  <c r="K22" i="66"/>
  <c r="J22" i="66"/>
  <c r="Z21" i="66"/>
  <c r="Y21" i="66"/>
  <c r="X21" i="66"/>
  <c r="W21" i="66"/>
  <c r="V21" i="66"/>
  <c r="U21" i="66"/>
  <c r="T21" i="66"/>
  <c r="S21" i="66"/>
  <c r="Q21" i="66"/>
  <c r="P21" i="66"/>
  <c r="O21" i="66"/>
  <c r="N21" i="66"/>
  <c r="M21" i="66"/>
  <c r="L21" i="66"/>
  <c r="K21" i="66"/>
  <c r="J21" i="66"/>
  <c r="Z20" i="66"/>
  <c r="Y20" i="66"/>
  <c r="X20" i="66"/>
  <c r="W20" i="66"/>
  <c r="V20" i="66"/>
  <c r="U20" i="66"/>
  <c r="T20" i="66"/>
  <c r="S20" i="66"/>
  <c r="Q20" i="66"/>
  <c r="P20" i="66"/>
  <c r="O20" i="66"/>
  <c r="N20" i="66"/>
  <c r="M20" i="66"/>
  <c r="L20" i="66"/>
  <c r="K20" i="66"/>
  <c r="J20" i="66"/>
  <c r="Z19" i="66"/>
  <c r="Y19" i="66"/>
  <c r="X19" i="66"/>
  <c r="W19" i="66"/>
  <c r="V19" i="66"/>
  <c r="U19" i="66"/>
  <c r="T19" i="66"/>
  <c r="S19" i="66"/>
  <c r="Q19" i="66"/>
  <c r="P19" i="66"/>
  <c r="O19" i="66"/>
  <c r="N19" i="66"/>
  <c r="M19" i="66"/>
  <c r="L19" i="66"/>
  <c r="K19" i="66"/>
  <c r="J19" i="66"/>
  <c r="Z18" i="66"/>
  <c r="Y18" i="66"/>
  <c r="X18" i="66"/>
  <c r="W18" i="66"/>
  <c r="V18" i="66"/>
  <c r="U18" i="66"/>
  <c r="T18" i="66"/>
  <c r="S18" i="66"/>
  <c r="Q18" i="66"/>
  <c r="P18" i="66"/>
  <c r="O18" i="66"/>
  <c r="N18" i="66"/>
  <c r="M18" i="66"/>
  <c r="L18" i="66"/>
  <c r="K18" i="66"/>
  <c r="J18" i="66"/>
  <c r="Z17" i="66"/>
  <c r="Y17" i="66"/>
  <c r="X17" i="66"/>
  <c r="W17" i="66"/>
  <c r="V17" i="66"/>
  <c r="U17" i="66"/>
  <c r="T17" i="66"/>
  <c r="S17" i="66"/>
  <c r="Q17" i="66"/>
  <c r="P17" i="66"/>
  <c r="O17" i="66"/>
  <c r="N17" i="66"/>
  <c r="M17" i="66"/>
  <c r="L17" i="66"/>
  <c r="K17" i="66"/>
  <c r="J17" i="66"/>
  <c r="Z16" i="66"/>
  <c r="Y16" i="66"/>
  <c r="X16" i="66"/>
  <c r="W16" i="66"/>
  <c r="V16" i="66"/>
  <c r="U16" i="66"/>
  <c r="T16" i="66"/>
  <c r="S16" i="66"/>
  <c r="Q16" i="66"/>
  <c r="P16" i="66"/>
  <c r="O16" i="66"/>
  <c r="N16" i="66"/>
  <c r="M16" i="66"/>
  <c r="L16" i="66"/>
  <c r="K16" i="66"/>
  <c r="J16" i="66"/>
  <c r="Z15" i="66"/>
  <c r="Y15" i="66"/>
  <c r="X15" i="66"/>
  <c r="W15" i="66"/>
  <c r="V15" i="66"/>
  <c r="U15" i="66"/>
  <c r="T15" i="66"/>
  <c r="S15" i="66"/>
  <c r="Q15" i="66"/>
  <c r="P15" i="66"/>
  <c r="O15" i="66"/>
  <c r="N15" i="66"/>
  <c r="M15" i="66"/>
  <c r="L15" i="66"/>
  <c r="K15" i="66"/>
  <c r="J15" i="66"/>
  <c r="Z14" i="66"/>
  <c r="Y14" i="66"/>
  <c r="X14" i="66"/>
  <c r="W14" i="66"/>
  <c r="V14" i="66"/>
  <c r="U14" i="66"/>
  <c r="T14" i="66"/>
  <c r="S14" i="66"/>
  <c r="Q14" i="66"/>
  <c r="P14" i="66"/>
  <c r="O14" i="66"/>
  <c r="N14" i="66"/>
  <c r="M14" i="66"/>
  <c r="L14" i="66"/>
  <c r="K14" i="66"/>
  <c r="J14" i="66"/>
  <c r="Z13" i="66"/>
  <c r="Y13" i="66"/>
  <c r="X13" i="66"/>
  <c r="W13" i="66"/>
  <c r="V13" i="66"/>
  <c r="U13" i="66"/>
  <c r="T13" i="66"/>
  <c r="S13" i="66"/>
  <c r="Q13" i="66"/>
  <c r="P13" i="66"/>
  <c r="O13" i="66"/>
  <c r="N13" i="66"/>
  <c r="M13" i="66"/>
  <c r="L13" i="66"/>
  <c r="K13" i="66"/>
  <c r="J13" i="66"/>
  <c r="T11" i="66"/>
  <c r="S11" i="66"/>
  <c r="K11" i="66"/>
  <c r="J11" i="66"/>
  <c r="AU10" i="66"/>
  <c r="AT10" i="66"/>
  <c r="AL10" i="66"/>
  <c r="AK10" i="66"/>
  <c r="AC10" i="66"/>
  <c r="AB10" i="66"/>
  <c r="T10" i="66"/>
  <c r="S10" i="66"/>
  <c r="K10" i="66"/>
  <c r="J10" i="66"/>
  <c r="AU9" i="66"/>
  <c r="AT9" i="66"/>
  <c r="AL9" i="66"/>
  <c r="AK9" i="66"/>
  <c r="AC9" i="66"/>
  <c r="AB9" i="66"/>
  <c r="T9" i="66"/>
  <c r="S9" i="66"/>
  <c r="K9" i="66"/>
  <c r="J9" i="66"/>
  <c r="AU8" i="66"/>
  <c r="AT8" i="66"/>
  <c r="AL8" i="66"/>
  <c r="AK8" i="66"/>
  <c r="AC8" i="66"/>
  <c r="AB8" i="66"/>
  <c r="T8" i="66"/>
  <c r="S8" i="66"/>
  <c r="K8" i="66"/>
  <c r="J8" i="66"/>
  <c r="AU7" i="66"/>
  <c r="AT7" i="66"/>
  <c r="AL7" i="66"/>
  <c r="AK7" i="66"/>
  <c r="AC7" i="66"/>
  <c r="AB7" i="66"/>
  <c r="T7" i="66"/>
  <c r="S7" i="66"/>
  <c r="K7" i="66"/>
  <c r="J7" i="66"/>
  <c r="AU6" i="66"/>
  <c r="AT6" i="66"/>
  <c r="AL6" i="66"/>
  <c r="AK6" i="66"/>
  <c r="AC6" i="66"/>
  <c r="AB6" i="66"/>
  <c r="T6" i="66"/>
  <c r="S6" i="66"/>
  <c r="K6" i="66"/>
  <c r="J6" i="66"/>
  <c r="AU5" i="66"/>
  <c r="AT5" i="66"/>
  <c r="AL5" i="66"/>
  <c r="AK5" i="66"/>
  <c r="AC5" i="66"/>
  <c r="AB5" i="66"/>
  <c r="T5" i="66"/>
  <c r="S5" i="66"/>
  <c r="K5" i="66"/>
  <c r="J5" i="66"/>
  <c r="AU4" i="66"/>
  <c r="AT4" i="66"/>
  <c r="AL4" i="66"/>
  <c r="AK4" i="66"/>
  <c r="AC4" i="66"/>
  <c r="AB4" i="66"/>
  <c r="T4" i="66"/>
  <c r="S4" i="66"/>
  <c r="K4" i="66"/>
  <c r="J4" i="66"/>
  <c r="A40" i="14" l="1"/>
  <c r="A52" i="14"/>
  <c r="A51" i="14"/>
  <c r="A50" i="14"/>
  <c r="A49" i="14"/>
  <c r="A48" i="14"/>
  <c r="A47" i="14"/>
  <c r="A46" i="14"/>
  <c r="A45" i="14"/>
  <c r="A44" i="14"/>
  <c r="A43" i="14"/>
  <c r="A42" i="14"/>
  <c r="A39" i="14"/>
  <c r="G52" i="58" l="1"/>
  <c r="G49" i="58"/>
  <c r="C122" i="64" l="1"/>
  <c r="C121" i="64"/>
  <c r="C120" i="64"/>
  <c r="C119" i="64"/>
  <c r="C118" i="64"/>
  <c r="C117" i="64"/>
  <c r="C116" i="64"/>
  <c r="C115" i="64"/>
  <c r="C114" i="64"/>
  <c r="F97" i="58"/>
  <c r="F96" i="58"/>
  <c r="F95" i="58"/>
  <c r="F94" i="58"/>
  <c r="F93" i="58"/>
  <c r="B93" i="58"/>
  <c r="F92" i="58"/>
  <c r="B92" i="58"/>
  <c r="F91" i="58"/>
  <c r="B91" i="58"/>
  <c r="F90" i="58"/>
  <c r="B90" i="58"/>
  <c r="F89" i="58"/>
  <c r="B89" i="58"/>
  <c r="G65" i="58"/>
  <c r="E66" i="58" s="1"/>
  <c r="G61" i="58"/>
  <c r="E63" i="58" s="1"/>
  <c r="G57" i="58"/>
  <c r="E59" i="58" s="1"/>
  <c r="G43" i="58"/>
  <c r="E44" i="58" s="1"/>
  <c r="G39" i="58"/>
  <c r="E41" i="58" s="1"/>
  <c r="G35" i="58"/>
  <c r="E37" i="58" s="1"/>
  <c r="G31" i="58"/>
  <c r="E31" i="58" s="1"/>
  <c r="G27" i="58"/>
  <c r="E29" i="58" s="1"/>
  <c r="G23" i="58"/>
  <c r="G17" i="58"/>
  <c r="E18" i="58" s="1"/>
  <c r="G13" i="58"/>
  <c r="E14" i="58" s="1"/>
  <c r="G9" i="58"/>
  <c r="G21" i="58" s="1"/>
  <c r="E9" i="58" l="1"/>
  <c r="E39" i="58"/>
  <c r="E15" i="58"/>
  <c r="E19" i="58"/>
  <c r="E65" i="58"/>
  <c r="E67" i="58"/>
  <c r="G66" i="58" s="1"/>
  <c r="E17" i="58"/>
  <c r="G18" i="58"/>
  <c r="E13" i="58"/>
  <c r="E32" i="58"/>
  <c r="E33" i="58"/>
  <c r="E58" i="58"/>
  <c r="G14" i="58"/>
  <c r="E27" i="58"/>
  <c r="E36" i="58"/>
  <c r="E61" i="58"/>
  <c r="E45" i="58"/>
  <c r="E43" i="58"/>
  <c r="G44" i="58" s="1"/>
  <c r="E28" i="58"/>
  <c r="E35" i="58"/>
  <c r="G36" i="58" s="1"/>
  <c r="E57" i="58"/>
  <c r="E10" i="58"/>
  <c r="E40" i="58"/>
  <c r="G40" i="58" s="1"/>
  <c r="E62" i="58"/>
  <c r="E11" i="58"/>
  <c r="G62" i="58" l="1"/>
  <c r="G58" i="58"/>
  <c r="G28" i="58"/>
  <c r="G10" i="58"/>
  <c r="G32" i="58"/>
  <c r="E37" i="41"/>
  <c r="E36" i="41"/>
  <c r="E35" i="41"/>
  <c r="E34" i="41"/>
  <c r="F34" i="41" s="1"/>
  <c r="E33" i="41"/>
  <c r="E32" i="41"/>
  <c r="F32" i="41" s="1"/>
  <c r="E31" i="41"/>
  <c r="F31" i="41" s="1"/>
  <c r="E30" i="41"/>
  <c r="E29" i="41"/>
  <c r="E28" i="41"/>
  <c r="E27" i="41"/>
  <c r="E26" i="41"/>
  <c r="E25" i="41"/>
  <c r="E24" i="41"/>
  <c r="E23" i="41"/>
  <c r="E22" i="41"/>
  <c r="E21" i="41"/>
  <c r="E20" i="41"/>
  <c r="E19" i="41"/>
  <c r="E18" i="41"/>
  <c r="E17" i="41"/>
  <c r="E16" i="41"/>
  <c r="E15" i="41"/>
  <c r="E14" i="41"/>
  <c r="E13" i="41"/>
  <c r="E12" i="41"/>
  <c r="E11" i="41"/>
  <c r="E10" i="41"/>
  <c r="E9" i="41"/>
  <c r="E8" i="41"/>
  <c r="O3" i="41"/>
  <c r="O35" i="41" s="1"/>
  <c r="I36" i="63"/>
  <c r="Q3" i="63"/>
  <c r="K5" i="63" s="1"/>
  <c r="E35" i="63"/>
  <c r="F35" i="63" s="1"/>
  <c r="E34" i="63"/>
  <c r="F34" i="63" s="1"/>
  <c r="E33" i="63"/>
  <c r="F33" i="63" s="1"/>
  <c r="E32" i="63"/>
  <c r="F32" i="63" s="1"/>
  <c r="E31" i="63"/>
  <c r="F31" i="63" s="1"/>
  <c r="E30" i="63"/>
  <c r="F30" i="63" s="1"/>
  <c r="E29" i="63"/>
  <c r="F29" i="63" s="1"/>
  <c r="E28" i="63"/>
  <c r="F28" i="63" s="1"/>
  <c r="E27" i="63"/>
  <c r="F27" i="63" s="1"/>
  <c r="E26" i="63"/>
  <c r="F26" i="63" s="1"/>
  <c r="E25" i="63"/>
  <c r="F25" i="63" s="1"/>
  <c r="E24" i="63"/>
  <c r="F24" i="63" s="1"/>
  <c r="E23" i="63"/>
  <c r="F23" i="63" s="1"/>
  <c r="E22" i="63"/>
  <c r="F22" i="63" s="1"/>
  <c r="E21" i="63"/>
  <c r="F21" i="63" s="1"/>
  <c r="E20" i="63"/>
  <c r="F20" i="63" s="1"/>
  <c r="E19" i="63"/>
  <c r="F19" i="63" s="1"/>
  <c r="E18" i="63"/>
  <c r="F18" i="63" s="1"/>
  <c r="E17" i="63"/>
  <c r="F17" i="63" s="1"/>
  <c r="E16" i="63"/>
  <c r="F16" i="63" s="1"/>
  <c r="E15" i="63"/>
  <c r="F15" i="63" s="1"/>
  <c r="E14" i="63"/>
  <c r="F14" i="63" s="1"/>
  <c r="E13" i="63"/>
  <c r="F13" i="63" s="1"/>
  <c r="E12" i="63"/>
  <c r="F12" i="63" s="1"/>
  <c r="E11" i="63"/>
  <c r="F11" i="63" s="1"/>
  <c r="E10" i="63"/>
  <c r="F10" i="63" s="1"/>
  <c r="E9" i="63"/>
  <c r="F9" i="63" s="1"/>
  <c r="E8" i="63"/>
  <c r="F8" i="63" s="1"/>
  <c r="E7" i="63"/>
  <c r="F7" i="63" s="1"/>
  <c r="E6" i="63"/>
  <c r="F6" i="63" s="1"/>
  <c r="F36" i="41"/>
  <c r="F33" i="41"/>
  <c r="D38" i="41"/>
  <c r="K8" i="41" l="1"/>
  <c r="L9" i="41"/>
  <c r="J10" i="41"/>
  <c r="N10" i="41"/>
  <c r="L11" i="41"/>
  <c r="J12" i="41"/>
  <c r="N12" i="41"/>
  <c r="L13" i="41"/>
  <c r="J14" i="41"/>
  <c r="N14" i="41"/>
  <c r="L15" i="41"/>
  <c r="J16" i="41"/>
  <c r="N16" i="41"/>
  <c r="L17" i="41"/>
  <c r="J18" i="41"/>
  <c r="N18" i="41"/>
  <c r="L19" i="41"/>
  <c r="J20" i="41"/>
  <c r="N20" i="41"/>
  <c r="L21" i="41"/>
  <c r="J22" i="41"/>
  <c r="N22" i="41"/>
  <c r="L23" i="41"/>
  <c r="J24" i="41"/>
  <c r="N24" i="41"/>
  <c r="L25" i="41"/>
  <c r="J26" i="41"/>
  <c r="N26" i="41"/>
  <c r="L27" i="41"/>
  <c r="J28" i="41"/>
  <c r="N28" i="41"/>
  <c r="L29" i="41"/>
  <c r="J30" i="41"/>
  <c r="N30" i="41"/>
  <c r="L31" i="41"/>
  <c r="J32" i="41"/>
  <c r="N32" i="41"/>
  <c r="L33" i="41"/>
  <c r="J34" i="41"/>
  <c r="N34" i="41"/>
  <c r="L35" i="41"/>
  <c r="I5" i="41"/>
  <c r="J9" i="41"/>
  <c r="N9" i="41"/>
  <c r="L10" i="41"/>
  <c r="J11" i="41"/>
  <c r="N11" i="41"/>
  <c r="L12" i="41"/>
  <c r="J13" i="41"/>
  <c r="N13" i="41"/>
  <c r="L14" i="41"/>
  <c r="J15" i="41"/>
  <c r="N15" i="41"/>
  <c r="L16" i="41"/>
  <c r="J17" i="41"/>
  <c r="N17" i="41"/>
  <c r="L18" i="41"/>
  <c r="J19" i="41"/>
  <c r="N19" i="41"/>
  <c r="L20" i="41"/>
  <c r="J21" i="41"/>
  <c r="N21" i="41"/>
  <c r="L22" i="41"/>
  <c r="J23" i="41"/>
  <c r="N23" i="41"/>
  <c r="L24" i="41"/>
  <c r="J25" i="41"/>
  <c r="N25" i="41"/>
  <c r="L26" i="41"/>
  <c r="J27" i="41"/>
  <c r="N27" i="41"/>
  <c r="L28" i="41"/>
  <c r="J29" i="41"/>
  <c r="N29" i="41"/>
  <c r="L30" i="41"/>
  <c r="J31" i="41"/>
  <c r="N31" i="41"/>
  <c r="L32" i="41"/>
  <c r="J33" i="41"/>
  <c r="N33" i="41"/>
  <c r="L34" i="41"/>
  <c r="J35" i="41"/>
  <c r="N35" i="41"/>
  <c r="J8" i="41"/>
  <c r="L8" i="41"/>
  <c r="K9" i="41"/>
  <c r="M9" i="41"/>
  <c r="O9" i="41"/>
  <c r="K10" i="41"/>
  <c r="M10" i="41"/>
  <c r="O10" i="41"/>
  <c r="K11" i="41"/>
  <c r="M11" i="41"/>
  <c r="O11" i="41"/>
  <c r="K12" i="41"/>
  <c r="M12" i="41"/>
  <c r="O12" i="41"/>
  <c r="K13" i="41"/>
  <c r="M13" i="41"/>
  <c r="O13" i="41"/>
  <c r="K14" i="41"/>
  <c r="M14" i="41"/>
  <c r="O14" i="41"/>
  <c r="K15" i="41"/>
  <c r="M15" i="41"/>
  <c r="O15" i="41"/>
  <c r="K16" i="41"/>
  <c r="M16" i="41"/>
  <c r="O16" i="41"/>
  <c r="K17" i="41"/>
  <c r="M17" i="41"/>
  <c r="O17" i="41"/>
  <c r="K18" i="41"/>
  <c r="M18" i="41"/>
  <c r="O18" i="41"/>
  <c r="K19" i="41"/>
  <c r="M19" i="41"/>
  <c r="O19" i="41"/>
  <c r="K20" i="41"/>
  <c r="M20" i="41"/>
  <c r="O20" i="41"/>
  <c r="K21" i="41"/>
  <c r="M21" i="41"/>
  <c r="O21" i="41"/>
  <c r="K22" i="41"/>
  <c r="M22" i="41"/>
  <c r="O22" i="41"/>
  <c r="K23" i="41"/>
  <c r="M23" i="41"/>
  <c r="O23" i="41"/>
  <c r="K24" i="41"/>
  <c r="M24" i="41"/>
  <c r="O24" i="41"/>
  <c r="K25" i="41"/>
  <c r="M25" i="41"/>
  <c r="O25" i="41"/>
  <c r="K26" i="41"/>
  <c r="M26" i="41"/>
  <c r="O26" i="41"/>
  <c r="K27" i="41"/>
  <c r="M27" i="41"/>
  <c r="O27" i="41"/>
  <c r="K28" i="41"/>
  <c r="M28" i="41"/>
  <c r="O28" i="41"/>
  <c r="K29" i="41"/>
  <c r="M29" i="41"/>
  <c r="O29" i="41"/>
  <c r="K30" i="41"/>
  <c r="M30" i="41"/>
  <c r="O30" i="41"/>
  <c r="K31" i="41"/>
  <c r="M31" i="41"/>
  <c r="O31" i="41"/>
  <c r="K32" i="41"/>
  <c r="M32" i="41"/>
  <c r="O32" i="41"/>
  <c r="K33" i="41"/>
  <c r="M33" i="41"/>
  <c r="O33" i="41"/>
  <c r="K34" i="41"/>
  <c r="M34" i="41"/>
  <c r="O34" i="41"/>
  <c r="K35" i="41"/>
  <c r="M35" i="41"/>
  <c r="Q28" i="63"/>
  <c r="O28" i="63"/>
  <c r="M28" i="63"/>
  <c r="Q27" i="63"/>
  <c r="O27" i="63"/>
  <c r="M27" i="63"/>
  <c r="Q26" i="63"/>
  <c r="O26" i="63"/>
  <c r="M26" i="63"/>
  <c r="Q25" i="63"/>
  <c r="O25" i="63"/>
  <c r="M25" i="63"/>
  <c r="Q24" i="63"/>
  <c r="O24" i="63"/>
  <c r="M24" i="63"/>
  <c r="Q23" i="63"/>
  <c r="O23" i="63"/>
  <c r="M23" i="63"/>
  <c r="Q22" i="63"/>
  <c r="O22" i="63"/>
  <c r="M22" i="63"/>
  <c r="Q21" i="63"/>
  <c r="O21" i="63"/>
  <c r="M21" i="63"/>
  <c r="Q20" i="63"/>
  <c r="O20" i="63"/>
  <c r="M20" i="63"/>
  <c r="Q19" i="63"/>
  <c r="O19" i="63"/>
  <c r="M19" i="63"/>
  <c r="Q18" i="63"/>
  <c r="O18" i="63"/>
  <c r="M18" i="63"/>
  <c r="Q17" i="63"/>
  <c r="O17" i="63"/>
  <c r="M17" i="63"/>
  <c r="Q16" i="63"/>
  <c r="O16" i="63"/>
  <c r="M16" i="63"/>
  <c r="Q15" i="63"/>
  <c r="O15" i="63"/>
  <c r="M15" i="63"/>
  <c r="Q14" i="63"/>
  <c r="O14" i="63"/>
  <c r="M14" i="63"/>
  <c r="Q13" i="63"/>
  <c r="O13" i="63"/>
  <c r="M13" i="63"/>
  <c r="Q12" i="63"/>
  <c r="O12" i="63"/>
  <c r="M12" i="63"/>
  <c r="Q11" i="63"/>
  <c r="O11" i="63"/>
  <c r="M11" i="63"/>
  <c r="Q10" i="63"/>
  <c r="O10" i="63"/>
  <c r="M10" i="63"/>
  <c r="Q9" i="63"/>
  <c r="O9" i="63"/>
  <c r="M9" i="63"/>
  <c r="N8" i="63"/>
  <c r="L8" i="63"/>
  <c r="M8" i="63"/>
  <c r="N9" i="63"/>
  <c r="L10" i="63"/>
  <c r="P10" i="63"/>
  <c r="N11" i="63"/>
  <c r="L12" i="63"/>
  <c r="P12" i="63"/>
  <c r="N13" i="63"/>
  <c r="L14" i="63"/>
  <c r="P14" i="63"/>
  <c r="N15" i="63"/>
  <c r="L16" i="63"/>
  <c r="P16" i="63"/>
  <c r="N17" i="63"/>
  <c r="L18" i="63"/>
  <c r="P18" i="63"/>
  <c r="N19" i="63"/>
  <c r="L20" i="63"/>
  <c r="P20" i="63"/>
  <c r="N21" i="63"/>
  <c r="L22" i="63"/>
  <c r="P22" i="63"/>
  <c r="N23" i="63"/>
  <c r="L24" i="63"/>
  <c r="P24" i="63"/>
  <c r="N25" i="63"/>
  <c r="L26" i="63"/>
  <c r="P26" i="63"/>
  <c r="N27" i="63"/>
  <c r="L28" i="63"/>
  <c r="P28" i="63"/>
  <c r="L9" i="63"/>
  <c r="P9" i="63"/>
  <c r="N10" i="63"/>
  <c r="L11" i="63"/>
  <c r="P11" i="63"/>
  <c r="N12" i="63"/>
  <c r="L13" i="63"/>
  <c r="P13" i="63"/>
  <c r="N14" i="63"/>
  <c r="L15" i="63"/>
  <c r="P15" i="63"/>
  <c r="N16" i="63"/>
  <c r="L17" i="63"/>
  <c r="P17" i="63"/>
  <c r="N18" i="63"/>
  <c r="L19" i="63"/>
  <c r="P19" i="63"/>
  <c r="N20" i="63"/>
  <c r="L21" i="63"/>
  <c r="P21" i="63"/>
  <c r="N22" i="63"/>
  <c r="L23" i="63"/>
  <c r="P23" i="63"/>
  <c r="N24" i="63"/>
  <c r="L25" i="63"/>
  <c r="P25" i="63"/>
  <c r="N26" i="63"/>
  <c r="L27" i="63"/>
  <c r="P27" i="63"/>
  <c r="N28" i="63"/>
  <c r="A23" i="10"/>
  <c r="A17" i="10"/>
  <c r="A15" i="10"/>
  <c r="D31" i="60" l="1"/>
  <c r="D12" i="60"/>
  <c r="L4" i="60"/>
  <c r="L12" i="60"/>
  <c r="L11" i="60"/>
  <c r="L10" i="60"/>
  <c r="L9" i="60"/>
  <c r="L8" i="60"/>
  <c r="L7" i="60"/>
  <c r="L6" i="60"/>
  <c r="L5" i="60"/>
  <c r="A27" i="60"/>
  <c r="A26" i="60"/>
  <c r="D25" i="60"/>
  <c r="D32" i="60" s="1"/>
  <c r="D24" i="60"/>
  <c r="B30" i="60" s="1"/>
  <c r="D23" i="60"/>
  <c r="D22" i="60"/>
  <c r="D21" i="60"/>
  <c r="A8" i="60"/>
  <c r="A7" i="60"/>
  <c r="D6" i="60"/>
  <c r="D14" i="60" s="1"/>
  <c r="D5" i="60"/>
  <c r="B11" i="60" s="1"/>
  <c r="D4" i="60"/>
  <c r="D3" i="60"/>
  <c r="B29" i="60" l="1"/>
  <c r="B27" i="60" s="1"/>
  <c r="D33" i="60"/>
  <c r="D13" i="60"/>
  <c r="B10" i="60"/>
  <c r="B12" i="60" s="1"/>
  <c r="P63" i="59"/>
  <c r="O63" i="59"/>
  <c r="N63" i="59"/>
  <c r="M63" i="59"/>
  <c r="L63" i="59"/>
  <c r="K63" i="59"/>
  <c r="P62" i="59"/>
  <c r="O62" i="59"/>
  <c r="N62" i="59"/>
  <c r="M62" i="59"/>
  <c r="L62" i="59"/>
  <c r="K62" i="59"/>
  <c r="P61" i="59"/>
  <c r="O61" i="59"/>
  <c r="N61" i="59"/>
  <c r="M61" i="59"/>
  <c r="L61" i="59"/>
  <c r="K61" i="59"/>
  <c r="P60" i="59"/>
  <c r="O60" i="59"/>
  <c r="N60" i="59"/>
  <c r="M60" i="59"/>
  <c r="L60" i="59"/>
  <c r="K60" i="59"/>
  <c r="P59" i="59"/>
  <c r="O59" i="59"/>
  <c r="N59" i="59"/>
  <c r="M59" i="59"/>
  <c r="L59" i="59"/>
  <c r="K59" i="59"/>
  <c r="P58" i="59"/>
  <c r="O58" i="59"/>
  <c r="N58" i="59"/>
  <c r="M58" i="59"/>
  <c r="L58" i="59"/>
  <c r="K58" i="59"/>
  <c r="P57" i="59"/>
  <c r="O57" i="59"/>
  <c r="N57" i="59"/>
  <c r="M57" i="59"/>
  <c r="L57" i="59"/>
  <c r="K57" i="59"/>
  <c r="P56" i="59"/>
  <c r="O56" i="59"/>
  <c r="N56" i="59"/>
  <c r="M56" i="59"/>
  <c r="L56" i="59"/>
  <c r="K56" i="59"/>
  <c r="P55" i="59"/>
  <c r="O55" i="59"/>
  <c r="N55" i="59"/>
  <c r="M55" i="59"/>
  <c r="L55" i="59"/>
  <c r="K55" i="59"/>
  <c r="P54" i="59"/>
  <c r="O54" i="59"/>
  <c r="N54" i="59"/>
  <c r="M54" i="59"/>
  <c r="L54" i="59"/>
  <c r="K54" i="59"/>
  <c r="P53" i="59"/>
  <c r="O53" i="59"/>
  <c r="N53" i="59"/>
  <c r="M53" i="59"/>
  <c r="L53" i="59"/>
  <c r="K53" i="59"/>
  <c r="P52" i="59"/>
  <c r="O52" i="59"/>
  <c r="N52" i="59"/>
  <c r="M52" i="59"/>
  <c r="L52" i="59"/>
  <c r="K52" i="59"/>
  <c r="P51" i="59"/>
  <c r="O51" i="59"/>
  <c r="N51" i="59"/>
  <c r="M51" i="59"/>
  <c r="L51" i="59"/>
  <c r="K51" i="59"/>
  <c r="P50" i="59"/>
  <c r="O50" i="59"/>
  <c r="N50" i="59"/>
  <c r="M50" i="59"/>
  <c r="L50" i="59"/>
  <c r="K50" i="59"/>
  <c r="P49" i="59"/>
  <c r="O49" i="59"/>
  <c r="N49" i="59"/>
  <c r="M49" i="59"/>
  <c r="L49" i="59"/>
  <c r="K49" i="59"/>
  <c r="P48" i="59"/>
  <c r="O48" i="59"/>
  <c r="N48" i="59"/>
  <c r="M48" i="59"/>
  <c r="L48" i="59"/>
  <c r="K48" i="59"/>
  <c r="P47" i="59"/>
  <c r="O47" i="59"/>
  <c r="N47" i="59"/>
  <c r="M47" i="59"/>
  <c r="L47" i="59"/>
  <c r="K47" i="59"/>
  <c r="P46" i="59"/>
  <c r="O46" i="59"/>
  <c r="N46" i="59"/>
  <c r="M46" i="59"/>
  <c r="L46" i="59"/>
  <c r="K46" i="59"/>
  <c r="P45" i="59"/>
  <c r="O45" i="59"/>
  <c r="N45" i="59"/>
  <c r="M45" i="59"/>
  <c r="L45" i="59"/>
  <c r="K45" i="59"/>
  <c r="P44" i="59"/>
  <c r="O44" i="59"/>
  <c r="N44" i="59"/>
  <c r="M44" i="59"/>
  <c r="L44" i="59"/>
  <c r="K44" i="59"/>
  <c r="P43" i="59"/>
  <c r="O43" i="59"/>
  <c r="N43" i="59"/>
  <c r="M43" i="59"/>
  <c r="L43" i="59"/>
  <c r="K43" i="59"/>
  <c r="P42" i="59"/>
  <c r="O42" i="59"/>
  <c r="N42" i="59"/>
  <c r="M42" i="59"/>
  <c r="L42" i="59"/>
  <c r="K42" i="59"/>
  <c r="P41" i="59"/>
  <c r="O41" i="59"/>
  <c r="N41" i="59"/>
  <c r="M41" i="59"/>
  <c r="L41" i="59"/>
  <c r="K41" i="59"/>
  <c r="P40" i="59"/>
  <c r="O40" i="59"/>
  <c r="N40" i="59"/>
  <c r="M40" i="59"/>
  <c r="L40" i="59"/>
  <c r="K40" i="59"/>
  <c r="P39" i="59"/>
  <c r="O39" i="59"/>
  <c r="N39" i="59"/>
  <c r="M39" i="59"/>
  <c r="L39" i="59"/>
  <c r="K39" i="59"/>
  <c r="P38" i="59"/>
  <c r="O38" i="59"/>
  <c r="N38" i="59"/>
  <c r="M38" i="59"/>
  <c r="L38" i="59"/>
  <c r="K38" i="59"/>
  <c r="P37" i="59"/>
  <c r="O37" i="59"/>
  <c r="N37" i="59"/>
  <c r="M37" i="59"/>
  <c r="L37" i="59"/>
  <c r="K37" i="59"/>
  <c r="M36" i="59"/>
  <c r="L36" i="59"/>
  <c r="K36" i="59"/>
  <c r="G63" i="59"/>
  <c r="F63" i="59"/>
  <c r="E63" i="59"/>
  <c r="G62" i="59"/>
  <c r="F62" i="59"/>
  <c r="E62" i="59"/>
  <c r="G61" i="59"/>
  <c r="F61" i="59"/>
  <c r="E61" i="59"/>
  <c r="G60" i="59"/>
  <c r="F60" i="59"/>
  <c r="E60" i="59"/>
  <c r="G59" i="59"/>
  <c r="F59" i="59"/>
  <c r="E59" i="59"/>
  <c r="G58" i="59"/>
  <c r="F58" i="59"/>
  <c r="E58" i="59"/>
  <c r="G57" i="59"/>
  <c r="F57" i="59"/>
  <c r="E57" i="59"/>
  <c r="G56" i="59"/>
  <c r="F56" i="59"/>
  <c r="E56" i="59"/>
  <c r="G55" i="59"/>
  <c r="F55" i="59"/>
  <c r="E55" i="59"/>
  <c r="G54" i="59"/>
  <c r="F54" i="59"/>
  <c r="E54" i="59"/>
  <c r="G53" i="59"/>
  <c r="F53" i="59"/>
  <c r="E53" i="59"/>
  <c r="G52" i="59"/>
  <c r="F52" i="59"/>
  <c r="E52" i="59"/>
  <c r="G51" i="59"/>
  <c r="F51" i="59"/>
  <c r="E51" i="59"/>
  <c r="G50" i="59"/>
  <c r="F50" i="59"/>
  <c r="E50" i="59"/>
  <c r="G49" i="59"/>
  <c r="F49" i="59"/>
  <c r="E49" i="59"/>
  <c r="G48" i="59"/>
  <c r="F48" i="59"/>
  <c r="E48" i="59"/>
  <c r="G47" i="59"/>
  <c r="F47" i="59"/>
  <c r="E47" i="59"/>
  <c r="G46" i="59"/>
  <c r="F46" i="59"/>
  <c r="E46" i="59"/>
  <c r="G45" i="59"/>
  <c r="F45" i="59"/>
  <c r="E45" i="59"/>
  <c r="G44" i="59"/>
  <c r="F44" i="59"/>
  <c r="E44" i="59"/>
  <c r="G43" i="59"/>
  <c r="F43" i="59"/>
  <c r="E43" i="59"/>
  <c r="G42" i="59"/>
  <c r="F42" i="59"/>
  <c r="E42" i="59"/>
  <c r="G41" i="59"/>
  <c r="F41" i="59"/>
  <c r="E41" i="59"/>
  <c r="G40" i="59"/>
  <c r="F40" i="59"/>
  <c r="E40" i="59"/>
  <c r="G39" i="59"/>
  <c r="F39" i="59"/>
  <c r="E39" i="59"/>
  <c r="G38" i="59"/>
  <c r="F38" i="59"/>
  <c r="E38" i="59"/>
  <c r="G37" i="59"/>
  <c r="F37" i="59"/>
  <c r="E37" i="59"/>
  <c r="D63" i="59"/>
  <c r="C63" i="59"/>
  <c r="B63" i="59"/>
  <c r="D62" i="59"/>
  <c r="C62" i="59"/>
  <c r="B62" i="59"/>
  <c r="D61" i="59"/>
  <c r="C61" i="59"/>
  <c r="B61" i="59"/>
  <c r="D60" i="59"/>
  <c r="C60" i="59"/>
  <c r="B60" i="59"/>
  <c r="D59" i="59"/>
  <c r="C59" i="59"/>
  <c r="B59" i="59"/>
  <c r="D58" i="59"/>
  <c r="C58" i="59"/>
  <c r="B58" i="59"/>
  <c r="D57" i="59"/>
  <c r="C57" i="59"/>
  <c r="B57" i="59"/>
  <c r="D56" i="59"/>
  <c r="C56" i="59"/>
  <c r="B56" i="59"/>
  <c r="D55" i="59"/>
  <c r="C55" i="59"/>
  <c r="B55" i="59"/>
  <c r="D54" i="59"/>
  <c r="C54" i="59"/>
  <c r="B54" i="59"/>
  <c r="D53" i="59"/>
  <c r="C53" i="59"/>
  <c r="B53" i="59"/>
  <c r="D52" i="59"/>
  <c r="C52" i="59"/>
  <c r="B52" i="59"/>
  <c r="D51" i="59"/>
  <c r="C51" i="59"/>
  <c r="B51" i="59"/>
  <c r="D50" i="59"/>
  <c r="C50" i="59"/>
  <c r="B50" i="59"/>
  <c r="D49" i="59"/>
  <c r="C49" i="59"/>
  <c r="B49" i="59"/>
  <c r="D48" i="59"/>
  <c r="C48" i="59"/>
  <c r="B48" i="59"/>
  <c r="D47" i="59"/>
  <c r="C47" i="59"/>
  <c r="B47" i="59"/>
  <c r="D46" i="59"/>
  <c r="C46" i="59"/>
  <c r="B46" i="59"/>
  <c r="D45" i="59"/>
  <c r="C45" i="59"/>
  <c r="B45" i="59"/>
  <c r="D44" i="59"/>
  <c r="C44" i="59"/>
  <c r="B44" i="59"/>
  <c r="D43" i="59"/>
  <c r="C43" i="59"/>
  <c r="B43" i="59"/>
  <c r="D42" i="59"/>
  <c r="C42" i="59"/>
  <c r="B42" i="59"/>
  <c r="D41" i="59"/>
  <c r="C41" i="59"/>
  <c r="B41" i="59"/>
  <c r="D40" i="59"/>
  <c r="C40" i="59"/>
  <c r="B40" i="59"/>
  <c r="D39" i="59"/>
  <c r="C39" i="59"/>
  <c r="B39" i="59"/>
  <c r="D38" i="59"/>
  <c r="C38" i="59"/>
  <c r="B38" i="59"/>
  <c r="D37" i="59"/>
  <c r="C37" i="59"/>
  <c r="B37" i="59"/>
  <c r="D36" i="59"/>
  <c r="C36" i="59"/>
  <c r="B36" i="59"/>
  <c r="B31" i="60" l="1"/>
  <c r="B33" i="60" s="1"/>
  <c r="B8" i="60"/>
  <c r="B7" i="60"/>
  <c r="B14" i="60"/>
  <c r="B13" i="60"/>
  <c r="B4" i="59"/>
  <c r="Y31" i="59"/>
  <c r="X31" i="59"/>
  <c r="W31" i="59"/>
  <c r="Y30" i="59"/>
  <c r="X30" i="59"/>
  <c r="W30" i="59"/>
  <c r="Y29" i="59"/>
  <c r="X29" i="59"/>
  <c r="W29" i="59"/>
  <c r="Y28" i="59"/>
  <c r="X28" i="59"/>
  <c r="W28" i="59"/>
  <c r="Y27" i="59"/>
  <c r="X27" i="59"/>
  <c r="W27" i="59"/>
  <c r="Y26" i="59"/>
  <c r="X26" i="59"/>
  <c r="W26" i="59"/>
  <c r="Y25" i="59"/>
  <c r="X25" i="59"/>
  <c r="W25" i="59"/>
  <c r="Y24" i="59"/>
  <c r="X24" i="59"/>
  <c r="W24" i="59"/>
  <c r="Y23" i="59"/>
  <c r="X23" i="59"/>
  <c r="W23" i="59"/>
  <c r="Y22" i="59"/>
  <c r="X22" i="59"/>
  <c r="W22" i="59"/>
  <c r="Y21" i="59"/>
  <c r="X21" i="59"/>
  <c r="W21" i="59"/>
  <c r="Y20" i="59"/>
  <c r="X20" i="59"/>
  <c r="W20" i="59"/>
  <c r="Y19" i="59"/>
  <c r="X19" i="59"/>
  <c r="W19" i="59"/>
  <c r="Y18" i="59"/>
  <c r="X18" i="59"/>
  <c r="W18" i="59"/>
  <c r="Y17" i="59"/>
  <c r="X17" i="59"/>
  <c r="W17" i="59"/>
  <c r="Y16" i="59"/>
  <c r="X16" i="59"/>
  <c r="W16" i="59"/>
  <c r="Y15" i="59"/>
  <c r="X15" i="59"/>
  <c r="W15" i="59"/>
  <c r="Y14" i="59"/>
  <c r="X14" i="59"/>
  <c r="W14" i="59"/>
  <c r="Y13" i="59"/>
  <c r="X13" i="59"/>
  <c r="W13" i="59"/>
  <c r="Y12" i="59"/>
  <c r="X12" i="59"/>
  <c r="W12" i="59"/>
  <c r="Y11" i="59"/>
  <c r="X11" i="59"/>
  <c r="W11" i="59"/>
  <c r="Y10" i="59"/>
  <c r="X10" i="59"/>
  <c r="W10" i="59"/>
  <c r="Y9" i="59"/>
  <c r="X9" i="59"/>
  <c r="W9" i="59"/>
  <c r="Y8" i="59"/>
  <c r="X8" i="59"/>
  <c r="W8" i="59"/>
  <c r="Y7" i="59"/>
  <c r="X7" i="59"/>
  <c r="W7" i="59"/>
  <c r="Y6" i="59"/>
  <c r="X6" i="59"/>
  <c r="W6" i="59"/>
  <c r="Y5" i="59"/>
  <c r="X5" i="59"/>
  <c r="W5" i="59"/>
  <c r="V31" i="59"/>
  <c r="U31" i="59"/>
  <c r="T31" i="59"/>
  <c r="V30" i="59"/>
  <c r="U30" i="59"/>
  <c r="T30" i="59"/>
  <c r="V29" i="59"/>
  <c r="U29" i="59"/>
  <c r="T29" i="59"/>
  <c r="V28" i="59"/>
  <c r="U28" i="59"/>
  <c r="T28" i="59"/>
  <c r="V27" i="59"/>
  <c r="U27" i="59"/>
  <c r="T27" i="59"/>
  <c r="V26" i="59"/>
  <c r="U26" i="59"/>
  <c r="T26" i="59"/>
  <c r="V25" i="59"/>
  <c r="U25" i="59"/>
  <c r="T25" i="59"/>
  <c r="V24" i="59"/>
  <c r="U24" i="59"/>
  <c r="T24" i="59"/>
  <c r="V23" i="59"/>
  <c r="U23" i="59"/>
  <c r="T23" i="59"/>
  <c r="V22" i="59"/>
  <c r="U22" i="59"/>
  <c r="T22" i="59"/>
  <c r="V21" i="59"/>
  <c r="U21" i="59"/>
  <c r="T21" i="59"/>
  <c r="V20" i="59"/>
  <c r="U20" i="59"/>
  <c r="T20" i="59"/>
  <c r="V19" i="59"/>
  <c r="U19" i="59"/>
  <c r="T19" i="59"/>
  <c r="V18" i="59"/>
  <c r="U18" i="59"/>
  <c r="T18" i="59"/>
  <c r="V17" i="59"/>
  <c r="U17" i="59"/>
  <c r="T17" i="59"/>
  <c r="V16" i="59"/>
  <c r="U16" i="59"/>
  <c r="T16" i="59"/>
  <c r="V15" i="59"/>
  <c r="U15" i="59"/>
  <c r="T15" i="59"/>
  <c r="V14" i="59"/>
  <c r="U14" i="59"/>
  <c r="T14" i="59"/>
  <c r="V13" i="59"/>
  <c r="U13" i="59"/>
  <c r="T13" i="59"/>
  <c r="V12" i="59"/>
  <c r="U12" i="59"/>
  <c r="T12" i="59"/>
  <c r="V11" i="59"/>
  <c r="U11" i="59"/>
  <c r="T11" i="59"/>
  <c r="V10" i="59"/>
  <c r="U10" i="59"/>
  <c r="T10" i="59"/>
  <c r="V9" i="59"/>
  <c r="U9" i="59"/>
  <c r="T9" i="59"/>
  <c r="V8" i="59"/>
  <c r="U8" i="59"/>
  <c r="T8" i="59"/>
  <c r="V7" i="59"/>
  <c r="U7" i="59"/>
  <c r="T7" i="59"/>
  <c r="V6" i="59"/>
  <c r="U6" i="59"/>
  <c r="T6" i="59"/>
  <c r="V5" i="59"/>
  <c r="U5" i="59"/>
  <c r="T5" i="59"/>
  <c r="V4" i="59"/>
  <c r="U4" i="59"/>
  <c r="T4" i="59"/>
  <c r="P31" i="59"/>
  <c r="O31" i="59"/>
  <c r="N31" i="59"/>
  <c r="P30" i="59"/>
  <c r="O30" i="59"/>
  <c r="N30" i="59"/>
  <c r="P29" i="59"/>
  <c r="O29" i="59"/>
  <c r="N29" i="59"/>
  <c r="P28" i="59"/>
  <c r="O28" i="59"/>
  <c r="N28" i="59"/>
  <c r="P27" i="59"/>
  <c r="O27" i="59"/>
  <c r="N27" i="59"/>
  <c r="P26" i="59"/>
  <c r="O26" i="59"/>
  <c r="N26" i="59"/>
  <c r="P25" i="59"/>
  <c r="O25" i="59"/>
  <c r="N25" i="59"/>
  <c r="P24" i="59"/>
  <c r="O24" i="59"/>
  <c r="N24" i="59"/>
  <c r="P23" i="59"/>
  <c r="O23" i="59"/>
  <c r="N23" i="59"/>
  <c r="P22" i="59"/>
  <c r="O22" i="59"/>
  <c r="N22" i="59"/>
  <c r="P21" i="59"/>
  <c r="O21" i="59"/>
  <c r="N21" i="59"/>
  <c r="P20" i="59"/>
  <c r="O20" i="59"/>
  <c r="N20" i="59"/>
  <c r="P19" i="59"/>
  <c r="O19" i="59"/>
  <c r="N19" i="59"/>
  <c r="P18" i="59"/>
  <c r="O18" i="59"/>
  <c r="N18" i="59"/>
  <c r="P17" i="59"/>
  <c r="O17" i="59"/>
  <c r="N17" i="59"/>
  <c r="P16" i="59"/>
  <c r="O16" i="59"/>
  <c r="N16" i="59"/>
  <c r="P15" i="59"/>
  <c r="O15" i="59"/>
  <c r="N15" i="59"/>
  <c r="P14" i="59"/>
  <c r="O14" i="59"/>
  <c r="N14" i="59"/>
  <c r="P13" i="59"/>
  <c r="O13" i="59"/>
  <c r="N13" i="59"/>
  <c r="P12" i="59"/>
  <c r="O12" i="59"/>
  <c r="N12" i="59"/>
  <c r="P11" i="59"/>
  <c r="O11" i="59"/>
  <c r="N11" i="59"/>
  <c r="P10" i="59"/>
  <c r="O10" i="59"/>
  <c r="N10" i="59"/>
  <c r="P9" i="59"/>
  <c r="O9" i="59"/>
  <c r="N9" i="59"/>
  <c r="P8" i="59"/>
  <c r="O8" i="59"/>
  <c r="N8" i="59"/>
  <c r="P7" i="59"/>
  <c r="O7" i="59"/>
  <c r="N7" i="59"/>
  <c r="P6" i="59"/>
  <c r="O6" i="59"/>
  <c r="N6" i="59"/>
  <c r="P5" i="59"/>
  <c r="O5" i="59"/>
  <c r="N5" i="59"/>
  <c r="M4" i="59"/>
  <c r="L4" i="59"/>
  <c r="M31" i="59"/>
  <c r="L31" i="59"/>
  <c r="K31" i="59"/>
  <c r="M30" i="59"/>
  <c r="L30" i="59"/>
  <c r="K30" i="59"/>
  <c r="M29" i="59"/>
  <c r="L29" i="59"/>
  <c r="K29" i="59"/>
  <c r="M28" i="59"/>
  <c r="L28" i="59"/>
  <c r="K28" i="59"/>
  <c r="M27" i="59"/>
  <c r="L27" i="59"/>
  <c r="K27" i="59"/>
  <c r="M26" i="59"/>
  <c r="L26" i="59"/>
  <c r="K26" i="59"/>
  <c r="M25" i="59"/>
  <c r="L25" i="59"/>
  <c r="K25" i="59"/>
  <c r="M24" i="59"/>
  <c r="L24" i="59"/>
  <c r="K24" i="59"/>
  <c r="M23" i="59"/>
  <c r="L23" i="59"/>
  <c r="K23" i="59"/>
  <c r="M22" i="59"/>
  <c r="L22" i="59"/>
  <c r="K22" i="59"/>
  <c r="M21" i="59"/>
  <c r="L21" i="59"/>
  <c r="K21" i="59"/>
  <c r="M20" i="59"/>
  <c r="L20" i="59"/>
  <c r="K20" i="59"/>
  <c r="M19" i="59"/>
  <c r="L19" i="59"/>
  <c r="K19" i="59"/>
  <c r="M18" i="59"/>
  <c r="L18" i="59"/>
  <c r="K18" i="59"/>
  <c r="M17" i="59"/>
  <c r="L17" i="59"/>
  <c r="K17" i="59"/>
  <c r="M16" i="59"/>
  <c r="L16" i="59"/>
  <c r="K16" i="59"/>
  <c r="M15" i="59"/>
  <c r="L15" i="59"/>
  <c r="K15" i="59"/>
  <c r="M14" i="59"/>
  <c r="L14" i="59"/>
  <c r="K14" i="59"/>
  <c r="M13" i="59"/>
  <c r="L13" i="59"/>
  <c r="K13" i="59"/>
  <c r="M12" i="59"/>
  <c r="L12" i="59"/>
  <c r="K12" i="59"/>
  <c r="M11" i="59"/>
  <c r="L11" i="59"/>
  <c r="K11" i="59"/>
  <c r="M10" i="59"/>
  <c r="L10" i="59"/>
  <c r="K10" i="59"/>
  <c r="M9" i="59"/>
  <c r="L9" i="59"/>
  <c r="K9" i="59"/>
  <c r="M8" i="59"/>
  <c r="L8" i="59"/>
  <c r="K8" i="59"/>
  <c r="M7" i="59"/>
  <c r="L7" i="59"/>
  <c r="K7" i="59"/>
  <c r="M6" i="59"/>
  <c r="L6" i="59"/>
  <c r="K6" i="59"/>
  <c r="M5" i="59"/>
  <c r="L5" i="59"/>
  <c r="K5" i="59"/>
  <c r="K4" i="59"/>
  <c r="G31" i="59"/>
  <c r="F31" i="59"/>
  <c r="E31" i="59"/>
  <c r="D31" i="59"/>
  <c r="C31" i="59"/>
  <c r="B31" i="59"/>
  <c r="G30" i="59"/>
  <c r="F30" i="59"/>
  <c r="E30" i="59"/>
  <c r="D30" i="59"/>
  <c r="C30" i="59"/>
  <c r="B30" i="59"/>
  <c r="G29" i="59"/>
  <c r="F29" i="59"/>
  <c r="E29" i="59"/>
  <c r="D29" i="59"/>
  <c r="C29" i="59"/>
  <c r="B29" i="59"/>
  <c r="G28" i="59"/>
  <c r="F28" i="59"/>
  <c r="E28" i="59"/>
  <c r="D28" i="59"/>
  <c r="C28" i="59"/>
  <c r="B28" i="59"/>
  <c r="G27" i="59"/>
  <c r="F27" i="59"/>
  <c r="E27" i="59"/>
  <c r="D27" i="59"/>
  <c r="C27" i="59"/>
  <c r="B27" i="59"/>
  <c r="G26" i="59"/>
  <c r="F26" i="59"/>
  <c r="E26" i="59"/>
  <c r="D26" i="59"/>
  <c r="C26" i="59"/>
  <c r="B26" i="59"/>
  <c r="G25" i="59"/>
  <c r="F25" i="59"/>
  <c r="E25" i="59"/>
  <c r="D25" i="59"/>
  <c r="C25" i="59"/>
  <c r="B25" i="59"/>
  <c r="G24" i="59"/>
  <c r="F24" i="59"/>
  <c r="E24" i="59"/>
  <c r="D24" i="59"/>
  <c r="C24" i="59"/>
  <c r="B24" i="59"/>
  <c r="G23" i="59"/>
  <c r="F23" i="59"/>
  <c r="E23" i="59"/>
  <c r="D23" i="59"/>
  <c r="C23" i="59"/>
  <c r="B23" i="59"/>
  <c r="G22" i="59"/>
  <c r="F22" i="59"/>
  <c r="E22" i="59"/>
  <c r="D22" i="59"/>
  <c r="C22" i="59"/>
  <c r="B22" i="59"/>
  <c r="G21" i="59"/>
  <c r="F21" i="59"/>
  <c r="E21" i="59"/>
  <c r="D21" i="59"/>
  <c r="C21" i="59"/>
  <c r="B21" i="59"/>
  <c r="G20" i="59"/>
  <c r="F20" i="59"/>
  <c r="E20" i="59"/>
  <c r="D20" i="59"/>
  <c r="C20" i="59"/>
  <c r="B20" i="59"/>
  <c r="G19" i="59"/>
  <c r="F19" i="59"/>
  <c r="E19" i="59"/>
  <c r="D19" i="59"/>
  <c r="C19" i="59"/>
  <c r="B19" i="59"/>
  <c r="G18" i="59"/>
  <c r="F18" i="59"/>
  <c r="E18" i="59"/>
  <c r="D18" i="59"/>
  <c r="C18" i="59"/>
  <c r="B18" i="59"/>
  <c r="G17" i="59"/>
  <c r="F17" i="59"/>
  <c r="E17" i="59"/>
  <c r="D17" i="59"/>
  <c r="C17" i="59"/>
  <c r="B17" i="59"/>
  <c r="G16" i="59"/>
  <c r="F16" i="59"/>
  <c r="E16" i="59"/>
  <c r="D16" i="59"/>
  <c r="C16" i="59"/>
  <c r="B16" i="59"/>
  <c r="G15" i="59"/>
  <c r="F15" i="59"/>
  <c r="E15" i="59"/>
  <c r="D15" i="59"/>
  <c r="C15" i="59"/>
  <c r="B15" i="59"/>
  <c r="G14" i="59"/>
  <c r="F14" i="59"/>
  <c r="E14" i="59"/>
  <c r="D14" i="59"/>
  <c r="C14" i="59"/>
  <c r="B14" i="59"/>
  <c r="G13" i="59"/>
  <c r="F13" i="59"/>
  <c r="E13" i="59"/>
  <c r="D13" i="59"/>
  <c r="C13" i="59"/>
  <c r="B13" i="59"/>
  <c r="G12" i="59"/>
  <c r="F12" i="59"/>
  <c r="E12" i="59"/>
  <c r="D12" i="59"/>
  <c r="C12" i="59"/>
  <c r="B12" i="59"/>
  <c r="G11" i="59"/>
  <c r="F11" i="59"/>
  <c r="E11" i="59"/>
  <c r="D11" i="59"/>
  <c r="C11" i="59"/>
  <c r="B11" i="59"/>
  <c r="G10" i="59"/>
  <c r="F10" i="59"/>
  <c r="E10" i="59"/>
  <c r="D10" i="59"/>
  <c r="C10" i="59"/>
  <c r="B10" i="59"/>
  <c r="G9" i="59"/>
  <c r="F9" i="59"/>
  <c r="E9" i="59"/>
  <c r="D9" i="59"/>
  <c r="C9" i="59"/>
  <c r="B9" i="59"/>
  <c r="G8" i="59"/>
  <c r="F8" i="59"/>
  <c r="E8" i="59"/>
  <c r="D8" i="59"/>
  <c r="C8" i="59"/>
  <c r="B8" i="59"/>
  <c r="G7" i="59"/>
  <c r="F7" i="59"/>
  <c r="E7" i="59"/>
  <c r="D7" i="59"/>
  <c r="C7" i="59"/>
  <c r="B7" i="59"/>
  <c r="G6" i="59"/>
  <c r="F6" i="59"/>
  <c r="E6" i="59"/>
  <c r="D6" i="59"/>
  <c r="C6" i="59"/>
  <c r="B6" i="59"/>
  <c r="G5" i="59"/>
  <c r="F5" i="59"/>
  <c r="E5" i="59"/>
  <c r="D5" i="59"/>
  <c r="C5" i="59"/>
  <c r="B5" i="59"/>
  <c r="D4" i="59"/>
  <c r="C4" i="59"/>
  <c r="E27" i="56"/>
  <c r="E26" i="56"/>
  <c r="E25" i="56"/>
  <c r="E24" i="56"/>
  <c r="E23" i="56"/>
  <c r="E22" i="56"/>
  <c r="E21" i="56"/>
  <c r="E20" i="56"/>
  <c r="E19" i="56"/>
  <c r="E18" i="56"/>
  <c r="E17" i="56"/>
  <c r="E16" i="56"/>
  <c r="E15" i="56"/>
  <c r="E14" i="56"/>
  <c r="E13" i="56"/>
  <c r="E12" i="56"/>
  <c r="E11" i="56"/>
  <c r="E10" i="56"/>
  <c r="E9" i="56"/>
  <c r="E8" i="56"/>
  <c r="E7" i="56"/>
  <c r="E6" i="56"/>
  <c r="E5" i="56"/>
  <c r="B26" i="60" l="1"/>
  <c r="B32" i="60"/>
  <c r="H50" i="52"/>
  <c r="J50" i="52" s="1"/>
  <c r="H48" i="52"/>
  <c r="J48" i="52" s="1"/>
  <c r="H46" i="52"/>
  <c r="J46" i="52" s="1"/>
  <c r="H43" i="52"/>
  <c r="H42" i="52"/>
  <c r="H40" i="52"/>
  <c r="J40" i="52" s="1"/>
  <c r="H22" i="52"/>
  <c r="H21" i="52"/>
  <c r="H24" i="52"/>
  <c r="H23" i="52"/>
  <c r="H6" i="52"/>
  <c r="H44" i="52" l="1"/>
  <c r="J44" i="52" s="1"/>
  <c r="C35" i="57" l="1"/>
  <c r="D35" i="57" s="1"/>
  <c r="C34" i="57"/>
  <c r="D34" i="57" s="1"/>
  <c r="C33" i="57"/>
  <c r="D33" i="57" s="1"/>
  <c r="C32" i="57"/>
  <c r="D32" i="57" s="1"/>
  <c r="C28" i="57"/>
  <c r="D28" i="57" s="1"/>
  <c r="C27" i="57"/>
  <c r="D27" i="57" s="1"/>
  <c r="C26" i="57"/>
  <c r="D26" i="57" s="1"/>
  <c r="C25" i="57"/>
  <c r="D25" i="57" s="1"/>
  <c r="C24" i="57"/>
  <c r="D24" i="57" s="1"/>
  <c r="C23" i="57"/>
  <c r="D23" i="57" s="1"/>
  <c r="G21" i="57"/>
  <c r="H21" i="57" s="1"/>
  <c r="C19" i="57"/>
  <c r="D19" i="57" s="1"/>
  <c r="C18" i="57"/>
  <c r="D18" i="57" s="1"/>
  <c r="C17" i="57"/>
  <c r="D17" i="57" s="1"/>
  <c r="C16" i="57"/>
  <c r="D16" i="57" s="1"/>
  <c r="C15" i="57"/>
  <c r="D15" i="57" s="1"/>
  <c r="C14" i="57"/>
  <c r="D14" i="57" s="1"/>
  <c r="C29" i="57" l="1"/>
  <c r="D29" i="57" s="1"/>
  <c r="C20" i="57"/>
  <c r="D20" i="57" s="1"/>
  <c r="D10" i="57"/>
  <c r="A18" i="5" l="1"/>
  <c r="A10" i="5"/>
  <c r="G112" i="56" l="1"/>
  <c r="F112" i="56"/>
  <c r="E112" i="56"/>
  <c r="D112" i="56"/>
  <c r="C112" i="56"/>
  <c r="G111" i="56"/>
  <c r="F111" i="56"/>
  <c r="E111" i="56"/>
  <c r="D111" i="56"/>
  <c r="C111" i="56"/>
  <c r="G110" i="56"/>
  <c r="F110" i="56"/>
  <c r="E110" i="56"/>
  <c r="D110" i="56"/>
  <c r="C110" i="56"/>
  <c r="G109" i="56"/>
  <c r="F109" i="56"/>
  <c r="E109" i="56"/>
  <c r="D109" i="56"/>
  <c r="C109" i="56"/>
  <c r="G108" i="56"/>
  <c r="F108" i="56"/>
  <c r="E108" i="56"/>
  <c r="D108" i="56"/>
  <c r="C108" i="56"/>
  <c r="G107" i="56"/>
  <c r="F107" i="56"/>
  <c r="E107" i="56"/>
  <c r="D107" i="56"/>
  <c r="C107" i="56"/>
  <c r="G106" i="56"/>
  <c r="F106" i="56"/>
  <c r="E106" i="56"/>
  <c r="D106" i="56"/>
  <c r="C106" i="56"/>
  <c r="G105" i="56"/>
  <c r="F105" i="56"/>
  <c r="E105" i="56"/>
  <c r="D105" i="56"/>
  <c r="C105" i="56"/>
  <c r="G104" i="56"/>
  <c r="F104" i="56"/>
  <c r="E104" i="56"/>
  <c r="D104" i="56"/>
  <c r="C104" i="56"/>
  <c r="G103" i="56"/>
  <c r="F103" i="56"/>
  <c r="E103" i="56"/>
  <c r="D103" i="56"/>
  <c r="C103" i="56"/>
  <c r="G98" i="56"/>
  <c r="F98" i="56"/>
  <c r="E98" i="56"/>
  <c r="D98" i="56"/>
  <c r="C98" i="56"/>
  <c r="G97" i="56"/>
  <c r="F97" i="56"/>
  <c r="E97" i="56"/>
  <c r="D97" i="56"/>
  <c r="C97" i="56"/>
  <c r="G96" i="56"/>
  <c r="F96" i="56"/>
  <c r="E96" i="56"/>
  <c r="D96" i="56"/>
  <c r="C96" i="56"/>
  <c r="G95" i="56"/>
  <c r="F95" i="56"/>
  <c r="E95" i="56"/>
  <c r="D95" i="56"/>
  <c r="C95" i="56"/>
  <c r="G94" i="56"/>
  <c r="F94" i="56"/>
  <c r="E94" i="56"/>
  <c r="D94" i="56"/>
  <c r="C94" i="56"/>
  <c r="G93" i="56"/>
  <c r="F93" i="56"/>
  <c r="E93" i="56"/>
  <c r="D93" i="56"/>
  <c r="C93" i="56"/>
  <c r="G92" i="56"/>
  <c r="F92" i="56"/>
  <c r="E92" i="56"/>
  <c r="D92" i="56"/>
  <c r="C92" i="56"/>
  <c r="G91" i="56"/>
  <c r="F91" i="56"/>
  <c r="E91" i="56"/>
  <c r="D91" i="56"/>
  <c r="C91" i="56"/>
  <c r="G90" i="56"/>
  <c r="F90" i="56"/>
  <c r="E90" i="56"/>
  <c r="D90" i="56"/>
  <c r="C90" i="56"/>
  <c r="G89" i="56"/>
  <c r="F89" i="56"/>
  <c r="E89" i="56"/>
  <c r="D89" i="56"/>
  <c r="C89" i="56"/>
  <c r="G84" i="56"/>
  <c r="F84" i="56"/>
  <c r="E84" i="56"/>
  <c r="D84" i="56"/>
  <c r="C84" i="56"/>
  <c r="G83" i="56"/>
  <c r="F83" i="56"/>
  <c r="E83" i="56"/>
  <c r="D83" i="56"/>
  <c r="C83" i="56"/>
  <c r="G82" i="56"/>
  <c r="F82" i="56"/>
  <c r="E82" i="56"/>
  <c r="D82" i="56"/>
  <c r="C82" i="56"/>
  <c r="G81" i="56"/>
  <c r="F81" i="56"/>
  <c r="E81" i="56"/>
  <c r="D81" i="56"/>
  <c r="C81" i="56"/>
  <c r="G80" i="56"/>
  <c r="F80" i="56"/>
  <c r="E80" i="56"/>
  <c r="D80" i="56"/>
  <c r="C80" i="56"/>
  <c r="G79" i="56"/>
  <c r="F79" i="56"/>
  <c r="E79" i="56"/>
  <c r="D79" i="56"/>
  <c r="C79" i="56"/>
  <c r="G78" i="56"/>
  <c r="F78" i="56"/>
  <c r="E78" i="56"/>
  <c r="D78" i="56"/>
  <c r="C78" i="56"/>
  <c r="G77" i="56"/>
  <c r="F77" i="56"/>
  <c r="E77" i="56"/>
  <c r="D77" i="56"/>
  <c r="C77" i="56"/>
  <c r="G76" i="56"/>
  <c r="F76" i="56"/>
  <c r="E76" i="56"/>
  <c r="D76" i="56"/>
  <c r="C76" i="56"/>
  <c r="G75" i="56"/>
  <c r="F75" i="56"/>
  <c r="E75" i="56"/>
  <c r="D75" i="56"/>
  <c r="C75" i="56"/>
  <c r="G74" i="56"/>
  <c r="F74" i="56"/>
  <c r="E74" i="56"/>
  <c r="D74" i="56"/>
  <c r="C74" i="56"/>
  <c r="G73" i="56"/>
  <c r="F73" i="56"/>
  <c r="E73" i="56"/>
  <c r="D73" i="56"/>
  <c r="C73" i="56"/>
  <c r="G68" i="56"/>
  <c r="F68" i="56"/>
  <c r="E68" i="56"/>
  <c r="D68" i="56"/>
  <c r="C68" i="56"/>
  <c r="G67" i="56"/>
  <c r="F67" i="56"/>
  <c r="E67" i="56"/>
  <c r="D67" i="56"/>
  <c r="C67" i="56"/>
  <c r="G66" i="56"/>
  <c r="F66" i="56"/>
  <c r="E66" i="56"/>
  <c r="D66" i="56"/>
  <c r="C66" i="56"/>
  <c r="G65" i="56"/>
  <c r="F65" i="56"/>
  <c r="E65" i="56"/>
  <c r="D65" i="56"/>
  <c r="C65" i="56"/>
  <c r="G64" i="56"/>
  <c r="F64" i="56"/>
  <c r="E64" i="56"/>
  <c r="D64" i="56"/>
  <c r="C64" i="56"/>
  <c r="G63" i="56"/>
  <c r="F63" i="56"/>
  <c r="E63" i="56"/>
  <c r="D63" i="56"/>
  <c r="C63" i="56"/>
  <c r="G62" i="56"/>
  <c r="F62" i="56"/>
  <c r="E62" i="56"/>
  <c r="D62" i="56"/>
  <c r="C62" i="56"/>
  <c r="G61" i="56"/>
  <c r="F61" i="56"/>
  <c r="E61" i="56"/>
  <c r="D61" i="56"/>
  <c r="C61" i="56"/>
  <c r="G60" i="56"/>
  <c r="F60" i="56"/>
  <c r="E60" i="56"/>
  <c r="D60" i="56"/>
  <c r="C60" i="56"/>
  <c r="G59" i="56"/>
  <c r="F59" i="56"/>
  <c r="E59" i="56"/>
  <c r="D59" i="56"/>
  <c r="C59" i="56"/>
  <c r="G58" i="56"/>
  <c r="F58" i="56"/>
  <c r="E58" i="56"/>
  <c r="D58" i="56"/>
  <c r="C58" i="56"/>
  <c r="G57" i="56"/>
  <c r="F57" i="56"/>
  <c r="E57" i="56"/>
  <c r="D57" i="56"/>
  <c r="C57" i="56"/>
  <c r="F39" i="56"/>
  <c r="F38" i="56"/>
  <c r="D33" i="56"/>
  <c r="E33" i="56" s="1"/>
  <c r="D32" i="56"/>
  <c r="E32" i="56" s="1"/>
  <c r="D31" i="56"/>
  <c r="E31" i="56" s="1"/>
  <c r="E4" i="56"/>
  <c r="E28" i="56" s="1"/>
  <c r="E36" i="56" l="1"/>
  <c r="E39" i="56" s="1"/>
  <c r="E40" i="56" l="1"/>
  <c r="E38" i="56"/>
  <c r="B15" i="55"/>
  <c r="B12" i="55"/>
  <c r="A7" i="55"/>
  <c r="A6" i="55"/>
  <c r="H48" i="54"/>
  <c r="H47" i="54"/>
  <c r="H46" i="54"/>
  <c r="H45" i="54"/>
  <c r="H44" i="54"/>
  <c r="H43" i="54"/>
  <c r="H42" i="54"/>
  <c r="H41" i="54"/>
  <c r="H40" i="54"/>
  <c r="H39" i="54"/>
  <c r="H38" i="54"/>
  <c r="H37" i="54"/>
  <c r="B37" i="54"/>
  <c r="H36" i="54"/>
  <c r="H35" i="54"/>
  <c r="H34" i="54"/>
  <c r="B34" i="54"/>
  <c r="H33" i="54"/>
  <c r="H32" i="54"/>
  <c r="H31" i="54"/>
  <c r="H30" i="54"/>
  <c r="A30" i="54"/>
  <c r="H29" i="54"/>
  <c r="A29" i="54"/>
  <c r="H28" i="54"/>
  <c r="A28" i="54"/>
  <c r="H27" i="54"/>
  <c r="H26" i="54"/>
  <c r="A26" i="54"/>
  <c r="H25" i="54"/>
  <c r="H24" i="54"/>
  <c r="H23" i="54"/>
  <c r="H22" i="54"/>
  <c r="I18" i="54"/>
  <c r="H18" i="54"/>
  <c r="G18" i="54"/>
  <c r="I17" i="54"/>
  <c r="H17" i="54"/>
  <c r="G17" i="54"/>
  <c r="I16" i="54"/>
  <c r="H16" i="54"/>
  <c r="G16" i="54"/>
  <c r="I15" i="54"/>
  <c r="H15" i="54"/>
  <c r="G15" i="54"/>
  <c r="I10" i="54"/>
  <c r="G10" i="54"/>
  <c r="I9" i="54"/>
  <c r="H9" i="54"/>
  <c r="G9" i="54"/>
  <c r="I8" i="54"/>
  <c r="H8" i="54"/>
  <c r="G8" i="54"/>
  <c r="I7" i="54"/>
  <c r="H7" i="54"/>
  <c r="G7" i="54"/>
  <c r="D87" i="53" l="1"/>
  <c r="D86" i="53"/>
  <c r="D85" i="53"/>
  <c r="D84" i="53"/>
  <c r="D83" i="53"/>
  <c r="D82" i="53"/>
  <c r="D81" i="53"/>
  <c r="C76" i="53"/>
  <c r="C87" i="53" s="1"/>
  <c r="E68" i="53"/>
  <c r="E67" i="53"/>
  <c r="F60" i="53"/>
  <c r="F59" i="53"/>
  <c r="C53" i="53"/>
  <c r="C84" i="53" s="1"/>
  <c r="C38" i="53"/>
  <c r="C40" i="53" s="1"/>
  <c r="K28" i="53"/>
  <c r="C19" i="53"/>
  <c r="C23" i="53" s="1"/>
  <c r="C82" i="53" s="1"/>
  <c r="G9" i="53"/>
  <c r="G6" i="53"/>
  <c r="G5" i="53"/>
  <c r="G4" i="53"/>
  <c r="B56" i="52"/>
  <c r="B55" i="52"/>
  <c r="H38" i="52"/>
  <c r="J38" i="52" s="1"/>
  <c r="J51" i="52" s="1"/>
  <c r="G56" i="52" s="1"/>
  <c r="H31" i="52"/>
  <c r="H26" i="52"/>
  <c r="H25" i="52"/>
  <c r="H20" i="52"/>
  <c r="H19" i="52"/>
  <c r="H18" i="52"/>
  <c r="H17" i="52"/>
  <c r="H16" i="52"/>
  <c r="H15" i="52"/>
  <c r="H14" i="52"/>
  <c r="H13" i="52"/>
  <c r="H12" i="52"/>
  <c r="H11" i="52"/>
  <c r="H10" i="52"/>
  <c r="H9" i="52"/>
  <c r="H8" i="52"/>
  <c r="H7" i="52"/>
  <c r="H5" i="52"/>
  <c r="C42" i="53" l="1"/>
  <c r="C83" i="53" s="1"/>
  <c r="H27" i="52"/>
  <c r="E69" i="53"/>
  <c r="C86" i="53" s="1"/>
  <c r="F62" i="53"/>
  <c r="C85" i="53" s="1"/>
  <c r="G7" i="53"/>
  <c r="C10" i="53" s="1"/>
  <c r="G10" i="53" s="1"/>
  <c r="C32" i="52" l="1"/>
  <c r="H32" i="52" s="1"/>
  <c r="H33" i="52" s="1"/>
  <c r="G55" i="52" s="1"/>
  <c r="C11" i="53"/>
  <c r="G11" i="53" s="1"/>
  <c r="G57" i="52"/>
  <c r="I57" i="52" s="1"/>
  <c r="G12" i="53"/>
  <c r="C81" i="53" s="1"/>
  <c r="C88" i="53" s="1"/>
  <c r="E88" i="53" s="1"/>
  <c r="O27" i="51"/>
  <c r="F27" i="51"/>
  <c r="E27" i="51"/>
  <c r="D27" i="51"/>
  <c r="B27" i="51"/>
  <c r="O26" i="51"/>
  <c r="F26" i="51"/>
  <c r="E26" i="51"/>
  <c r="D26" i="51"/>
  <c r="B26" i="51"/>
  <c r="O25" i="51"/>
  <c r="F25" i="51"/>
  <c r="E25" i="51"/>
  <c r="D25" i="51"/>
  <c r="B25" i="51"/>
  <c r="O24" i="51"/>
  <c r="F24" i="51"/>
  <c r="E24" i="51"/>
  <c r="D24" i="51"/>
  <c r="B24" i="51"/>
  <c r="O23" i="51"/>
  <c r="F23" i="51"/>
  <c r="E23" i="51"/>
  <c r="D23" i="51"/>
  <c r="B23" i="51"/>
  <c r="O22" i="51"/>
  <c r="F22" i="51"/>
  <c r="E22" i="51"/>
  <c r="D22" i="51"/>
  <c r="B22" i="51"/>
  <c r="O21" i="51"/>
  <c r="F21" i="51"/>
  <c r="E21" i="51"/>
  <c r="D21" i="51"/>
  <c r="B21" i="51"/>
  <c r="O20" i="51"/>
  <c r="F20" i="51"/>
  <c r="E20" i="51"/>
  <c r="D20" i="51"/>
  <c r="B20" i="51"/>
  <c r="O19" i="51"/>
  <c r="F19" i="51"/>
  <c r="E19" i="51"/>
  <c r="D19" i="51"/>
  <c r="B19" i="51"/>
  <c r="O18" i="51"/>
  <c r="F18" i="51"/>
  <c r="E18" i="51"/>
  <c r="D18" i="51"/>
  <c r="B18" i="51"/>
  <c r="O17" i="51"/>
  <c r="F17" i="51"/>
  <c r="E17" i="51"/>
  <c r="D17" i="51"/>
  <c r="B17" i="51"/>
  <c r="O16" i="51"/>
  <c r="F16" i="51"/>
  <c r="E16" i="51"/>
  <c r="D16" i="51"/>
  <c r="B16" i="51"/>
  <c r="O15" i="51"/>
  <c r="F15" i="51"/>
  <c r="E15" i="51"/>
  <c r="D15" i="51"/>
  <c r="B15" i="51"/>
  <c r="O14" i="51"/>
  <c r="F14" i="51"/>
  <c r="E14" i="51"/>
  <c r="D14" i="51"/>
  <c r="B14" i="51"/>
  <c r="O13" i="51"/>
  <c r="F13" i="51"/>
  <c r="E13" i="51"/>
  <c r="D13" i="51"/>
  <c r="B13" i="51"/>
  <c r="O12" i="51"/>
  <c r="F12" i="51"/>
  <c r="E12" i="51"/>
  <c r="D12" i="51"/>
  <c r="B12" i="51"/>
  <c r="O11" i="51"/>
  <c r="F11" i="51"/>
  <c r="E11" i="51"/>
  <c r="D11" i="51"/>
  <c r="B11" i="51"/>
  <c r="O10" i="51"/>
  <c r="F10" i="51"/>
  <c r="E10" i="51"/>
  <c r="D10" i="51"/>
  <c r="B10" i="51"/>
  <c r="O9" i="51"/>
  <c r="F9" i="51"/>
  <c r="E9" i="51"/>
  <c r="D9" i="51"/>
  <c r="B9" i="51"/>
  <c r="O8" i="51"/>
  <c r="F8" i="51"/>
  <c r="E8" i="51"/>
  <c r="D8" i="51"/>
  <c r="B8" i="51"/>
  <c r="O7" i="51"/>
  <c r="F7" i="51"/>
  <c r="E7" i="51"/>
  <c r="D7" i="51"/>
  <c r="B7" i="51"/>
  <c r="O6" i="51"/>
  <c r="F6" i="51"/>
  <c r="E6" i="51"/>
  <c r="D6" i="51"/>
  <c r="B6" i="51"/>
  <c r="O5" i="51"/>
  <c r="F5" i="51"/>
  <c r="E5" i="51"/>
  <c r="D5" i="51"/>
  <c r="B5" i="51"/>
  <c r="O4" i="51"/>
  <c r="F4" i="51"/>
  <c r="E4" i="51"/>
  <c r="D4" i="51"/>
  <c r="B4" i="51"/>
  <c r="P9" i="50"/>
  <c r="F9" i="50"/>
  <c r="E9" i="50"/>
  <c r="D9" i="50"/>
  <c r="B9" i="50"/>
  <c r="P8" i="50"/>
  <c r="F8" i="50"/>
  <c r="E8" i="50"/>
  <c r="D8" i="50"/>
  <c r="B8" i="50"/>
  <c r="P7" i="50"/>
  <c r="F7" i="50"/>
  <c r="E7" i="50"/>
  <c r="D7" i="50"/>
  <c r="G7" i="50" s="1"/>
  <c r="B7" i="50"/>
  <c r="P6" i="50"/>
  <c r="F6" i="50"/>
  <c r="E6" i="50"/>
  <c r="D6" i="50"/>
  <c r="G6" i="50" s="1"/>
  <c r="B6" i="50"/>
  <c r="P5" i="50"/>
  <c r="F5" i="50"/>
  <c r="E5" i="50"/>
  <c r="D5" i="50"/>
  <c r="G5" i="50" s="1"/>
  <c r="B5" i="50"/>
  <c r="P4" i="50"/>
  <c r="F4" i="50"/>
  <c r="E4" i="50"/>
  <c r="D4" i="50"/>
  <c r="G4" i="50" s="1"/>
  <c r="B4" i="50"/>
  <c r="M45" i="49"/>
  <c r="E45" i="49"/>
  <c r="D45" i="49"/>
  <c r="B45" i="49"/>
  <c r="M44" i="49"/>
  <c r="E44" i="49"/>
  <c r="D44" i="49"/>
  <c r="B44" i="49"/>
  <c r="M43" i="49"/>
  <c r="E43" i="49"/>
  <c r="D43" i="49"/>
  <c r="B43" i="49"/>
  <c r="M42" i="49"/>
  <c r="E42" i="49"/>
  <c r="D42" i="49"/>
  <c r="B42" i="49"/>
  <c r="M41" i="49"/>
  <c r="E41" i="49"/>
  <c r="D41" i="49"/>
  <c r="B41" i="49"/>
  <c r="M40" i="49"/>
  <c r="E40" i="49"/>
  <c r="D40" i="49"/>
  <c r="B40" i="49"/>
  <c r="M39" i="49"/>
  <c r="E39" i="49"/>
  <c r="D39" i="49"/>
  <c r="B39" i="49"/>
  <c r="M38" i="49"/>
  <c r="E38" i="49"/>
  <c r="D38" i="49"/>
  <c r="B38" i="49"/>
  <c r="M37" i="49"/>
  <c r="E37" i="49"/>
  <c r="D37" i="49"/>
  <c r="B37" i="49"/>
  <c r="M36" i="49"/>
  <c r="E36" i="49"/>
  <c r="D36" i="49"/>
  <c r="B36" i="49"/>
  <c r="M35" i="49"/>
  <c r="E35" i="49"/>
  <c r="D35" i="49"/>
  <c r="B35" i="49"/>
  <c r="M34" i="49"/>
  <c r="E34" i="49"/>
  <c r="D34" i="49"/>
  <c r="B34" i="49"/>
  <c r="M30" i="49"/>
  <c r="E30" i="49"/>
  <c r="D30" i="49"/>
  <c r="B30" i="49"/>
  <c r="M29" i="49"/>
  <c r="E29" i="49"/>
  <c r="D29" i="49"/>
  <c r="B29" i="49"/>
  <c r="M28" i="49"/>
  <c r="E28" i="49"/>
  <c r="D28" i="49"/>
  <c r="B28" i="49"/>
  <c r="M27" i="49"/>
  <c r="E27" i="49"/>
  <c r="D27" i="49"/>
  <c r="B27" i="49"/>
  <c r="M26" i="49"/>
  <c r="E26" i="49"/>
  <c r="D26" i="49"/>
  <c r="B26" i="49"/>
  <c r="M25" i="49"/>
  <c r="E25" i="49"/>
  <c r="D25" i="49"/>
  <c r="B25" i="49"/>
  <c r="M24" i="49"/>
  <c r="E24" i="49"/>
  <c r="D24" i="49"/>
  <c r="B24" i="49"/>
  <c r="M23" i="49"/>
  <c r="E23" i="49"/>
  <c r="D23" i="49"/>
  <c r="B23" i="49"/>
  <c r="M22" i="49"/>
  <c r="E22" i="49"/>
  <c r="D22" i="49"/>
  <c r="B22" i="49"/>
  <c r="M21" i="49"/>
  <c r="E21" i="49"/>
  <c r="D21" i="49"/>
  <c r="B21" i="49"/>
  <c r="M20" i="49"/>
  <c r="E20" i="49"/>
  <c r="D20" i="49"/>
  <c r="B20" i="49"/>
  <c r="M19" i="49"/>
  <c r="E19" i="49"/>
  <c r="D19" i="49"/>
  <c r="B19" i="49"/>
  <c r="M15" i="49"/>
  <c r="E15" i="49"/>
  <c r="D15" i="49"/>
  <c r="B15" i="49"/>
  <c r="M14" i="49"/>
  <c r="E14" i="49"/>
  <c r="D14" i="49"/>
  <c r="B14" i="49"/>
  <c r="M13" i="49"/>
  <c r="E13" i="49"/>
  <c r="D13" i="49"/>
  <c r="B13" i="49"/>
  <c r="M12" i="49"/>
  <c r="E12" i="49"/>
  <c r="D12" i="49"/>
  <c r="B12" i="49"/>
  <c r="M11" i="49"/>
  <c r="E11" i="49"/>
  <c r="D11" i="49"/>
  <c r="B11" i="49"/>
  <c r="M10" i="49"/>
  <c r="E10" i="49"/>
  <c r="D10" i="49"/>
  <c r="B10" i="49"/>
  <c r="M9" i="49"/>
  <c r="E9" i="49"/>
  <c r="D9" i="49"/>
  <c r="B9" i="49"/>
  <c r="M8" i="49"/>
  <c r="E8" i="49"/>
  <c r="D8" i="49"/>
  <c r="B8" i="49"/>
  <c r="M7" i="49"/>
  <c r="E7" i="49"/>
  <c r="D7" i="49"/>
  <c r="B7" i="49"/>
  <c r="M6" i="49"/>
  <c r="E6" i="49"/>
  <c r="D6" i="49"/>
  <c r="B6" i="49"/>
  <c r="M5" i="49"/>
  <c r="E5" i="49"/>
  <c r="D5" i="49"/>
  <c r="B5" i="49"/>
  <c r="M4" i="49"/>
  <c r="E4" i="49"/>
  <c r="D4" i="49"/>
  <c r="B4" i="49"/>
  <c r="A34" i="47" l="1"/>
  <c r="A33" i="47"/>
  <c r="A32" i="47"/>
  <c r="A31" i="47"/>
  <c r="A30" i="47"/>
  <c r="A29" i="47"/>
  <c r="A28" i="47"/>
  <c r="A27" i="47"/>
  <c r="A26" i="47"/>
  <c r="A25" i="47"/>
  <c r="A24" i="47"/>
  <c r="A23" i="47"/>
  <c r="A22" i="47"/>
  <c r="A21" i="47"/>
  <c r="A20" i="47"/>
  <c r="A19" i="47"/>
  <c r="A18" i="47"/>
  <c r="A17" i="47"/>
  <c r="A16" i="47"/>
  <c r="A15" i="47"/>
  <c r="A14" i="47"/>
  <c r="A13" i="47"/>
  <c r="A12" i="47"/>
  <c r="A11" i="47"/>
  <c r="A10" i="47"/>
  <c r="A9" i="47"/>
  <c r="K7" i="47"/>
  <c r="K8" i="47" s="1"/>
  <c r="J7" i="47"/>
  <c r="J8" i="47" s="1"/>
  <c r="I7" i="47"/>
  <c r="I8" i="47" s="1"/>
  <c r="H7" i="47"/>
  <c r="H8" i="47" s="1"/>
  <c r="G7" i="47"/>
  <c r="G8" i="47" s="1"/>
  <c r="F7" i="47"/>
  <c r="F8" i="47" s="1"/>
  <c r="E7" i="47"/>
  <c r="E8" i="47" s="1"/>
  <c r="D7" i="47"/>
  <c r="D8" i="47" s="1"/>
  <c r="C7" i="47"/>
  <c r="C8" i="47" s="1"/>
  <c r="K8" i="46"/>
  <c r="J8" i="46"/>
  <c r="J46" i="46" s="1"/>
  <c r="I8" i="46"/>
  <c r="H8" i="46"/>
  <c r="H45" i="46" s="1"/>
  <c r="G8" i="46"/>
  <c r="F8" i="46"/>
  <c r="F46" i="46" s="1"/>
  <c r="E8" i="46"/>
  <c r="D8" i="46"/>
  <c r="D45" i="46" s="1"/>
  <c r="C8" i="46"/>
  <c r="C5" i="46"/>
  <c r="A46" i="46" s="1"/>
  <c r="B19" i="13"/>
  <c r="B18" i="13"/>
  <c r="B17" i="13"/>
  <c r="B16" i="13"/>
  <c r="B14" i="13"/>
  <c r="B13" i="13"/>
  <c r="B12" i="13"/>
  <c r="B11" i="13"/>
  <c r="B9" i="13"/>
  <c r="B8" i="13"/>
  <c r="B7" i="13"/>
  <c r="B6" i="13"/>
  <c r="B5" i="13"/>
  <c r="I26" i="37"/>
  <c r="E5" i="2"/>
  <c r="E6" i="2"/>
  <c r="E7" i="2"/>
  <c r="E8" i="2"/>
  <c r="E9" i="2"/>
  <c r="E10" i="2"/>
  <c r="E11" i="2"/>
  <c r="E4" i="2"/>
  <c r="L17" i="45"/>
  <c r="L16" i="45"/>
  <c r="L15" i="45"/>
  <c r="L14" i="45"/>
  <c r="L13" i="45"/>
  <c r="L8" i="45"/>
  <c r="M8" i="45" s="1"/>
  <c r="L7" i="45"/>
  <c r="M7" i="45" s="1"/>
  <c r="L6" i="45"/>
  <c r="M6" i="45" s="1"/>
  <c r="N6" i="45" s="1"/>
  <c r="L5" i="45"/>
  <c r="M5" i="45" s="1"/>
  <c r="L4" i="45"/>
  <c r="M4" i="45" s="1"/>
  <c r="G11" i="45"/>
  <c r="H29" i="45"/>
  <c r="G29" i="45"/>
  <c r="H28" i="45"/>
  <c r="G28" i="45"/>
  <c r="H27" i="45"/>
  <c r="G27" i="45"/>
  <c r="I37" i="45"/>
  <c r="H37" i="45"/>
  <c r="F37" i="45"/>
  <c r="E37" i="45"/>
  <c r="I36" i="45"/>
  <c r="H36" i="45"/>
  <c r="F36" i="45"/>
  <c r="E36" i="45"/>
  <c r="I35" i="45"/>
  <c r="H35" i="45"/>
  <c r="F35" i="45"/>
  <c r="E35" i="45"/>
  <c r="I34" i="45"/>
  <c r="H34" i="45"/>
  <c r="F34" i="45"/>
  <c r="E34" i="45"/>
  <c r="I33" i="45"/>
  <c r="H33" i="45"/>
  <c r="F33" i="45"/>
  <c r="E33" i="45"/>
  <c r="I32" i="45"/>
  <c r="H32" i="45"/>
  <c r="F32" i="45"/>
  <c r="E32" i="45"/>
  <c r="B17" i="45"/>
  <c r="A17" i="45"/>
  <c r="F17" i="45"/>
  <c r="D17" i="45"/>
  <c r="B16" i="45"/>
  <c r="A16" i="45"/>
  <c r="F16" i="45"/>
  <c r="D16" i="45"/>
  <c r="B15" i="45"/>
  <c r="A15" i="45"/>
  <c r="F15" i="45"/>
  <c r="D15" i="45"/>
  <c r="B14" i="45"/>
  <c r="A14" i="45"/>
  <c r="F14" i="45"/>
  <c r="D14" i="45"/>
  <c r="B13" i="45"/>
  <c r="A13" i="45"/>
  <c r="F13" i="45"/>
  <c r="D13" i="45"/>
  <c r="I8" i="45"/>
  <c r="J8" i="45" s="1"/>
  <c r="I7" i="45"/>
  <c r="J7" i="45" s="1"/>
  <c r="I6" i="45"/>
  <c r="J6" i="45" s="1"/>
  <c r="I5" i="45"/>
  <c r="J5" i="45" s="1"/>
  <c r="I4" i="45"/>
  <c r="J4" i="45" s="1"/>
  <c r="G3" i="44"/>
  <c r="A7" i="44" s="1"/>
  <c r="A18" i="44" s="1"/>
  <c r="I6" i="3"/>
  <c r="P14" i="3" s="1"/>
  <c r="B24" i="13"/>
  <c r="B25" i="13"/>
  <c r="B26" i="13"/>
  <c r="B27" i="13"/>
  <c r="B29" i="13"/>
  <c r="B30" i="13"/>
  <c r="B31" i="13"/>
  <c r="B32" i="13"/>
  <c r="B34" i="13"/>
  <c r="B35" i="13"/>
  <c r="B36" i="13"/>
  <c r="B37" i="13"/>
  <c r="B23" i="13"/>
  <c r="F37" i="41"/>
  <c r="F35" i="41"/>
  <c r="F30" i="41"/>
  <c r="F29" i="41"/>
  <c r="F28" i="41"/>
  <c r="F27" i="41"/>
  <c r="F26" i="41"/>
  <c r="F25" i="41"/>
  <c r="F24" i="41"/>
  <c r="F23" i="41"/>
  <c r="F22" i="41"/>
  <c r="F21" i="41"/>
  <c r="F20" i="41"/>
  <c r="F19" i="41"/>
  <c r="F18" i="41"/>
  <c r="F17" i="41"/>
  <c r="F16" i="41"/>
  <c r="F15" i="41"/>
  <c r="F14" i="41"/>
  <c r="F13" i="41"/>
  <c r="F12" i="41"/>
  <c r="F11" i="41"/>
  <c r="F10" i="41"/>
  <c r="F9" i="41"/>
  <c r="F8" i="41"/>
  <c r="B4" i="37"/>
  <c r="H4" i="37" s="1"/>
  <c r="I30" i="37"/>
  <c r="C30" i="37" s="1"/>
  <c r="I31" i="37"/>
  <c r="B31" i="37" s="1"/>
  <c r="I32" i="37"/>
  <c r="B32" i="37" s="1"/>
  <c r="I20" i="37"/>
  <c r="H20" i="37"/>
  <c r="G20" i="37"/>
  <c r="I19" i="37"/>
  <c r="H19" i="37"/>
  <c r="G19" i="37"/>
  <c r="I18" i="37"/>
  <c r="H18" i="37"/>
  <c r="G18" i="37"/>
  <c r="I17" i="37"/>
  <c r="H17" i="37"/>
  <c r="G17" i="37"/>
  <c r="I16" i="37"/>
  <c r="H16" i="37"/>
  <c r="G16" i="37"/>
  <c r="I15" i="37"/>
  <c r="H15" i="37"/>
  <c r="G15" i="37"/>
  <c r="I14" i="37"/>
  <c r="H14" i="37"/>
  <c r="G14" i="37"/>
  <c r="I13" i="37"/>
  <c r="H13" i="37"/>
  <c r="G13" i="37"/>
  <c r="I12" i="37"/>
  <c r="H12" i="37"/>
  <c r="G12" i="37"/>
  <c r="I11" i="37"/>
  <c r="H11" i="37"/>
  <c r="G11" i="37"/>
  <c r="I10" i="37"/>
  <c r="H10" i="37"/>
  <c r="G10" i="37"/>
  <c r="I9" i="37"/>
  <c r="H9" i="37"/>
  <c r="G9" i="37"/>
  <c r="I8" i="37"/>
  <c r="H8" i="37"/>
  <c r="G8" i="37"/>
  <c r="H26" i="37"/>
  <c r="G26" i="37"/>
  <c r="I25" i="37"/>
  <c r="H25" i="37"/>
  <c r="G25" i="37"/>
  <c r="I24" i="37"/>
  <c r="H24" i="37"/>
  <c r="G24" i="37"/>
  <c r="I23" i="37"/>
  <c r="H23" i="37"/>
  <c r="G23" i="37"/>
  <c r="I22" i="37"/>
  <c r="H22" i="37"/>
  <c r="G22" i="37"/>
  <c r="I21" i="37"/>
  <c r="H21" i="37"/>
  <c r="G21" i="37"/>
  <c r="I7" i="37"/>
  <c r="H7" i="37"/>
  <c r="G7" i="37"/>
  <c r="I6" i="37"/>
  <c r="H6" i="37"/>
  <c r="G6" i="37"/>
  <c r="I5" i="37"/>
  <c r="H5" i="37"/>
  <c r="G5" i="37"/>
  <c r="C11" i="16"/>
  <c r="D11" i="16"/>
  <c r="E11" i="16"/>
  <c r="F11" i="16"/>
  <c r="G11" i="16"/>
  <c r="H11" i="16"/>
  <c r="I11" i="16"/>
  <c r="J11" i="16"/>
  <c r="K11" i="16"/>
  <c r="L11" i="16"/>
  <c r="M11" i="16"/>
  <c r="C12" i="16"/>
  <c r="D12" i="16"/>
  <c r="E12" i="16"/>
  <c r="F12" i="16"/>
  <c r="G12" i="16"/>
  <c r="H12" i="16"/>
  <c r="I12" i="16"/>
  <c r="J12" i="16"/>
  <c r="K12" i="16"/>
  <c r="L12" i="16"/>
  <c r="M12" i="16"/>
  <c r="C22" i="16"/>
  <c r="D22" i="16"/>
  <c r="E22" i="16"/>
  <c r="F22" i="16"/>
  <c r="G22" i="16"/>
  <c r="H22" i="16"/>
  <c r="I22" i="16"/>
  <c r="J22" i="16"/>
  <c r="K22" i="16"/>
  <c r="L22" i="16"/>
  <c r="M22" i="16"/>
  <c r="C23" i="16"/>
  <c r="C27" i="16" s="1"/>
  <c r="D23" i="16"/>
  <c r="D27" i="16" s="1"/>
  <c r="E23" i="16"/>
  <c r="E27" i="16" s="1"/>
  <c r="F23" i="16"/>
  <c r="G23" i="16"/>
  <c r="G27" i="16" s="1"/>
  <c r="H23" i="16"/>
  <c r="H27" i="16" s="1"/>
  <c r="I23" i="16"/>
  <c r="I27" i="16" s="1"/>
  <c r="J23" i="16"/>
  <c r="J27" i="16" s="1"/>
  <c r="K23" i="16"/>
  <c r="K27" i="16" s="1"/>
  <c r="L23" i="16"/>
  <c r="L27" i="16" s="1"/>
  <c r="M23" i="16"/>
  <c r="M27" i="16" s="1"/>
  <c r="C24" i="16"/>
  <c r="D24" i="16"/>
  <c r="E24" i="16"/>
  <c r="F24" i="16"/>
  <c r="G24" i="16"/>
  <c r="H24" i="16"/>
  <c r="I24" i="16"/>
  <c r="J24" i="16"/>
  <c r="K24" i="16"/>
  <c r="L24" i="16"/>
  <c r="M24" i="16"/>
  <c r="C25" i="16"/>
  <c r="D25" i="16"/>
  <c r="E25" i="16"/>
  <c r="F25" i="16"/>
  <c r="G25" i="16"/>
  <c r="H25" i="16"/>
  <c r="I25" i="16"/>
  <c r="J25" i="16"/>
  <c r="K25" i="16"/>
  <c r="L25" i="16"/>
  <c r="M25" i="16"/>
  <c r="F27" i="16"/>
  <c r="B5" i="15"/>
  <c r="C5" i="15"/>
  <c r="D5" i="15"/>
  <c r="E5" i="15"/>
  <c r="F5" i="15"/>
  <c r="B6" i="15"/>
  <c r="C6" i="15"/>
  <c r="D6" i="15"/>
  <c r="E6" i="15"/>
  <c r="F6" i="15"/>
  <c r="B7" i="15"/>
  <c r="C7" i="15"/>
  <c r="D7" i="15"/>
  <c r="E7" i="15"/>
  <c r="F7" i="15"/>
  <c r="B8" i="15"/>
  <c r="C8" i="15"/>
  <c r="D8" i="15"/>
  <c r="E8" i="15"/>
  <c r="F8" i="15"/>
  <c r="B9" i="15"/>
  <c r="C9" i="15"/>
  <c r="D9" i="15"/>
  <c r="E9" i="15"/>
  <c r="F9" i="15"/>
  <c r="B10" i="15"/>
  <c r="C10" i="15"/>
  <c r="D10" i="15"/>
  <c r="E10" i="15"/>
  <c r="F10" i="15"/>
  <c r="B11" i="15"/>
  <c r="C11" i="15"/>
  <c r="D11" i="15"/>
  <c r="E11" i="15"/>
  <c r="F11" i="15"/>
  <c r="B12" i="15"/>
  <c r="C12" i="15"/>
  <c r="D12" i="15"/>
  <c r="E12" i="15"/>
  <c r="F12" i="15"/>
  <c r="B13" i="15"/>
  <c r="C13" i="15"/>
  <c r="D13" i="15"/>
  <c r="E13" i="15"/>
  <c r="F13" i="15"/>
  <c r="B14" i="15"/>
  <c r="C14" i="15"/>
  <c r="D14" i="15"/>
  <c r="E14" i="15"/>
  <c r="F14" i="15"/>
  <c r="B15" i="15"/>
  <c r="C15" i="15"/>
  <c r="D15" i="15"/>
  <c r="E15" i="15"/>
  <c r="F15" i="15"/>
  <c r="J15" i="15"/>
  <c r="B16" i="15"/>
  <c r="C16" i="15"/>
  <c r="D16" i="15"/>
  <c r="E16" i="15"/>
  <c r="F16" i="15"/>
  <c r="J16" i="15"/>
  <c r="B17" i="15"/>
  <c r="C17" i="15"/>
  <c r="D17" i="15"/>
  <c r="E17" i="15"/>
  <c r="F17" i="15"/>
  <c r="J17" i="15"/>
  <c r="B18" i="15"/>
  <c r="C18" i="15"/>
  <c r="D18" i="15"/>
  <c r="E18" i="15"/>
  <c r="F18" i="15"/>
  <c r="J18" i="15"/>
  <c r="B19" i="15"/>
  <c r="C19" i="15"/>
  <c r="D19" i="15"/>
  <c r="E19" i="15"/>
  <c r="F19" i="15"/>
  <c r="J19" i="15"/>
  <c r="B20" i="15"/>
  <c r="C20" i="15"/>
  <c r="D20" i="15"/>
  <c r="E20" i="15"/>
  <c r="F20" i="15"/>
  <c r="J20" i="15"/>
  <c r="B21" i="15"/>
  <c r="C21" i="15"/>
  <c r="D21" i="15"/>
  <c r="E21" i="15"/>
  <c r="F21" i="15"/>
  <c r="B22" i="15"/>
  <c r="C22" i="15"/>
  <c r="D22" i="15"/>
  <c r="E22" i="15"/>
  <c r="F22" i="15"/>
  <c r="B23" i="15"/>
  <c r="C23" i="15"/>
  <c r="D23" i="15"/>
  <c r="E23" i="15"/>
  <c r="F23" i="15"/>
  <c r="B24" i="15"/>
  <c r="C24" i="15"/>
  <c r="D24" i="15"/>
  <c r="E24" i="15"/>
  <c r="F24" i="15"/>
  <c r="B25" i="15"/>
  <c r="C25" i="15"/>
  <c r="D25" i="15"/>
  <c r="E25" i="15"/>
  <c r="F25" i="15"/>
  <c r="B26" i="15"/>
  <c r="C26" i="15"/>
  <c r="D26" i="15"/>
  <c r="E26" i="15"/>
  <c r="F26" i="15"/>
  <c r="B27" i="15"/>
  <c r="C27" i="15"/>
  <c r="D27" i="15"/>
  <c r="E27" i="15"/>
  <c r="F27" i="15"/>
  <c r="B28" i="15"/>
  <c r="C28" i="15"/>
  <c r="D28" i="15"/>
  <c r="E28" i="15"/>
  <c r="F28" i="15"/>
  <c r="B29" i="15"/>
  <c r="C29" i="15"/>
  <c r="D29" i="15"/>
  <c r="E29" i="15"/>
  <c r="F29" i="15"/>
  <c r="B30" i="15"/>
  <c r="C30" i="15"/>
  <c r="D30" i="15"/>
  <c r="E30" i="15"/>
  <c r="F30" i="15"/>
  <c r="B31" i="15"/>
  <c r="C31" i="15"/>
  <c r="D31" i="15"/>
  <c r="E31" i="15"/>
  <c r="F31" i="15"/>
  <c r="B32" i="15"/>
  <c r="C32" i="15"/>
  <c r="D32" i="15"/>
  <c r="E32" i="15"/>
  <c r="F32" i="15"/>
  <c r="B33" i="15"/>
  <c r="C33" i="15"/>
  <c r="D33" i="15"/>
  <c r="E33" i="15"/>
  <c r="F33" i="15"/>
  <c r="B34" i="15"/>
  <c r="C34" i="15"/>
  <c r="D34" i="15"/>
  <c r="E34" i="15"/>
  <c r="F34" i="15"/>
  <c r="B35" i="15"/>
  <c r="C35" i="15"/>
  <c r="D35" i="15"/>
  <c r="E35" i="15"/>
  <c r="F35" i="15"/>
  <c r="B36" i="15"/>
  <c r="C36" i="15"/>
  <c r="D36" i="15"/>
  <c r="E36" i="15"/>
  <c r="F36" i="15"/>
  <c r="B37" i="15"/>
  <c r="C37" i="15"/>
  <c r="D37" i="15"/>
  <c r="E37" i="15"/>
  <c r="F37" i="15"/>
  <c r="B38" i="15"/>
  <c r="C38" i="15"/>
  <c r="D38" i="15"/>
  <c r="E38" i="15"/>
  <c r="F38" i="15"/>
  <c r="B39" i="15"/>
  <c r="C39" i="15"/>
  <c r="D39" i="15"/>
  <c r="E39" i="15"/>
  <c r="F39" i="15"/>
  <c r="B40" i="15"/>
  <c r="C40" i="15"/>
  <c r="D40" i="15"/>
  <c r="E40" i="15"/>
  <c r="F40" i="15"/>
  <c r="B41" i="15"/>
  <c r="C41" i="15"/>
  <c r="D41" i="15"/>
  <c r="E41" i="15"/>
  <c r="F41" i="15"/>
  <c r="B42" i="15"/>
  <c r="C42" i="15"/>
  <c r="D42" i="15"/>
  <c r="E42" i="15"/>
  <c r="F42" i="15"/>
  <c r="B43" i="15"/>
  <c r="C43" i="15"/>
  <c r="D43" i="15"/>
  <c r="E43" i="15"/>
  <c r="F43" i="15"/>
  <c r="A7" i="36"/>
  <c r="A11" i="36" s="1"/>
  <c r="A17" i="36"/>
  <c r="A21" i="36"/>
  <c r="A28" i="36"/>
  <c r="A34" i="36"/>
  <c r="A37" i="36"/>
  <c r="A41" i="36"/>
  <c r="A44" i="36"/>
  <c r="B8" i="14"/>
  <c r="C8" i="14"/>
  <c r="D8" i="14"/>
  <c r="E8" i="14"/>
  <c r="F8" i="14"/>
  <c r="G8" i="14"/>
  <c r="B9" i="14"/>
  <c r="C9" i="14"/>
  <c r="D9" i="14"/>
  <c r="E9" i="14"/>
  <c r="F9" i="14"/>
  <c r="G9" i="14"/>
  <c r="B10" i="14"/>
  <c r="C10" i="14"/>
  <c r="D10" i="14"/>
  <c r="E10" i="14"/>
  <c r="F10" i="14"/>
  <c r="G10" i="14"/>
  <c r="B11" i="14"/>
  <c r="C11" i="14"/>
  <c r="D11" i="14"/>
  <c r="E11" i="14"/>
  <c r="F11" i="14"/>
  <c r="G11" i="14"/>
  <c r="B12" i="14"/>
  <c r="C12" i="14"/>
  <c r="D12" i="14"/>
  <c r="E12" i="14"/>
  <c r="F12" i="14"/>
  <c r="G12" i="14"/>
  <c r="B13" i="14"/>
  <c r="C13" i="14"/>
  <c r="D13" i="14"/>
  <c r="E13" i="14"/>
  <c r="F13" i="14"/>
  <c r="G13" i="14"/>
  <c r="B14" i="14"/>
  <c r="C14" i="14"/>
  <c r="D14" i="14"/>
  <c r="E14" i="14"/>
  <c r="F14" i="14"/>
  <c r="G14" i="14"/>
  <c r="B15" i="14"/>
  <c r="C15" i="14"/>
  <c r="D15" i="14"/>
  <c r="E15" i="14"/>
  <c r="F15" i="14"/>
  <c r="G15" i="14"/>
  <c r="B16" i="14"/>
  <c r="C16" i="14"/>
  <c r="D16" i="14"/>
  <c r="E16" i="14"/>
  <c r="F16" i="14"/>
  <c r="G16" i="14"/>
  <c r="B17" i="14"/>
  <c r="C17" i="14"/>
  <c r="D17" i="14"/>
  <c r="E17" i="14"/>
  <c r="F17" i="14"/>
  <c r="G17" i="14"/>
  <c r="B18" i="14"/>
  <c r="C18" i="14"/>
  <c r="D18" i="14"/>
  <c r="E18" i="14"/>
  <c r="F18" i="14"/>
  <c r="G18" i="14"/>
  <c r="B19" i="14"/>
  <c r="C19" i="14"/>
  <c r="D19" i="14"/>
  <c r="E19" i="14"/>
  <c r="F19" i="14"/>
  <c r="G19" i="14"/>
  <c r="B20" i="14"/>
  <c r="C20" i="14"/>
  <c r="D20" i="14"/>
  <c r="E20" i="14"/>
  <c r="F20" i="14"/>
  <c r="G20" i="14"/>
  <c r="B21" i="14"/>
  <c r="C21" i="14"/>
  <c r="D21" i="14"/>
  <c r="E21" i="14"/>
  <c r="F21" i="14"/>
  <c r="G21" i="14"/>
  <c r="B22" i="14"/>
  <c r="C22" i="14"/>
  <c r="D22" i="14"/>
  <c r="E22" i="14"/>
  <c r="F22" i="14"/>
  <c r="G22" i="14"/>
  <c r="B23" i="14"/>
  <c r="C23" i="14"/>
  <c r="D23" i="14"/>
  <c r="E23" i="14"/>
  <c r="F23" i="14"/>
  <c r="B24" i="14"/>
  <c r="C24" i="14"/>
  <c r="D24" i="14"/>
  <c r="E24" i="14"/>
  <c r="F24" i="14"/>
  <c r="B25" i="14"/>
  <c r="C25" i="14"/>
  <c r="D25" i="14"/>
  <c r="E25" i="14"/>
  <c r="F25" i="14"/>
  <c r="B26" i="14"/>
  <c r="C26" i="14"/>
  <c r="D26" i="14"/>
  <c r="E26" i="14"/>
  <c r="B27" i="14"/>
  <c r="C27" i="14"/>
  <c r="D27" i="14"/>
  <c r="E27" i="14"/>
  <c r="B28" i="14"/>
  <c r="C28" i="14"/>
  <c r="D28" i="14"/>
  <c r="B29" i="14"/>
  <c r="C29" i="14"/>
  <c r="D29" i="14"/>
  <c r="B30" i="14"/>
  <c r="C30" i="14"/>
  <c r="D30" i="14"/>
  <c r="B31" i="14"/>
  <c r="C31" i="14"/>
  <c r="D31" i="14"/>
  <c r="B32" i="14"/>
  <c r="C32" i="14"/>
  <c r="B33" i="14"/>
  <c r="C33" i="14"/>
  <c r="B34" i="14"/>
  <c r="C34" i="14"/>
  <c r="B35" i="14"/>
  <c r="B3" i="22"/>
  <c r="B7" i="22"/>
  <c r="B8" i="22" s="1"/>
  <c r="B11" i="22"/>
  <c r="C13" i="22" s="1"/>
  <c r="I4" i="12"/>
  <c r="J4" i="12"/>
  <c r="M4" i="12"/>
  <c r="J13" i="12"/>
  <c r="K13" i="12" s="1"/>
  <c r="I5" i="12"/>
  <c r="J5" i="12" s="1"/>
  <c r="M5" i="12"/>
  <c r="F14" i="12" s="1"/>
  <c r="I6" i="12"/>
  <c r="J6" i="12"/>
  <c r="M6" i="12"/>
  <c r="I7" i="12"/>
  <c r="J7" i="12" s="1"/>
  <c r="M7" i="12"/>
  <c r="F16" i="12" s="1"/>
  <c r="I8" i="12"/>
  <c r="J8" i="12" s="1"/>
  <c r="M8" i="12"/>
  <c r="J17" i="12" s="1"/>
  <c r="K17" i="12" s="1"/>
  <c r="B13" i="12"/>
  <c r="D13" i="12"/>
  <c r="F13" i="12"/>
  <c r="G13" i="12" s="1"/>
  <c r="L13" i="12"/>
  <c r="M13" i="12"/>
  <c r="B14" i="12"/>
  <c r="D14" i="12"/>
  <c r="G14" i="12" s="1"/>
  <c r="L14" i="12"/>
  <c r="M14" i="12"/>
  <c r="B15" i="12"/>
  <c r="D15" i="12"/>
  <c r="L15" i="12"/>
  <c r="M15" i="12"/>
  <c r="B16" i="12"/>
  <c r="D16" i="12"/>
  <c r="J16" i="12"/>
  <c r="K16" i="12" s="1"/>
  <c r="L16" i="12"/>
  <c r="M16" i="12"/>
  <c r="B17" i="12"/>
  <c r="D17" i="12"/>
  <c r="L17" i="12"/>
  <c r="M17" i="12"/>
  <c r="B3" i="7"/>
  <c r="B4" i="7"/>
  <c r="B5" i="7"/>
  <c r="B6" i="7"/>
  <c r="B7" i="7"/>
  <c r="B8" i="7"/>
  <c r="B12" i="7"/>
  <c r="B15" i="7"/>
  <c r="B33" i="7"/>
  <c r="B16" i="7"/>
  <c r="B34" i="7"/>
  <c r="B17" i="7"/>
  <c r="B35" i="7"/>
  <c r="B18" i="7"/>
  <c r="B36" i="7"/>
  <c r="B21" i="7"/>
  <c r="B39" i="7"/>
  <c r="B22" i="7"/>
  <c r="B23" i="7"/>
  <c r="B41" i="7"/>
  <c r="B24" i="7"/>
  <c r="B42" i="7"/>
  <c r="B27" i="7"/>
  <c r="B45" i="7"/>
  <c r="B28" i="7"/>
  <c r="B46" i="7"/>
  <c r="B29" i="7"/>
  <c r="B47" i="7"/>
  <c r="B30" i="7"/>
  <c r="B48" i="7"/>
  <c r="C8" i="33"/>
  <c r="C10" i="33" s="1"/>
  <c r="B4" i="23"/>
  <c r="C5" i="23"/>
  <c r="D6" i="23"/>
  <c r="D4" i="8"/>
  <c r="D9" i="8"/>
  <c r="D14" i="8"/>
  <c r="D19" i="8"/>
  <c r="D24" i="8"/>
  <c r="D29" i="8"/>
  <c r="D2" i="34"/>
  <c r="D3" i="34"/>
  <c r="D4" i="34"/>
  <c r="A5" i="34"/>
  <c r="A4" i="34" s="1"/>
  <c r="B5" i="34"/>
  <c r="B4" i="34" s="1"/>
  <c r="C5" i="34"/>
  <c r="C2" i="34" s="1"/>
  <c r="I5" i="4"/>
  <c r="D36" i="4" s="1"/>
  <c r="D12" i="9"/>
  <c r="J12" i="9"/>
  <c r="D17" i="9"/>
  <c r="J17" i="9"/>
  <c r="D22" i="9"/>
  <c r="J22" i="9"/>
  <c r="D27" i="9"/>
  <c r="J27" i="9"/>
  <c r="D32" i="9"/>
  <c r="J32" i="9"/>
  <c r="D37" i="9"/>
  <c r="J37" i="9"/>
  <c r="A7" i="19"/>
  <c r="A8" i="19"/>
  <c r="A9" i="19" s="1"/>
  <c r="A10" i="19" s="1"/>
  <c r="A11" i="19" s="1"/>
  <c r="A12" i="19" s="1"/>
  <c r="A13" i="19" s="1"/>
  <c r="A14" i="19" s="1"/>
  <c r="A15" i="19" s="1"/>
  <c r="A17" i="19" s="1"/>
  <c r="B5" i="18"/>
  <c r="B12" i="18"/>
  <c r="B17" i="18"/>
  <c r="B21" i="18"/>
  <c r="A19" i="10"/>
  <c r="A11" i="10" s="1"/>
  <c r="A13" i="10" s="1"/>
  <c r="A8" i="32"/>
  <c r="A10" i="32" s="1"/>
  <c r="E8" i="32"/>
  <c r="F8" i="32"/>
  <c r="G8" i="32"/>
  <c r="H8" i="32"/>
  <c r="I8" i="32"/>
  <c r="J8" i="32"/>
  <c r="E9" i="32"/>
  <c r="F9" i="32"/>
  <c r="G9" i="32"/>
  <c r="H9" i="32"/>
  <c r="I9" i="32"/>
  <c r="J9" i="32"/>
  <c r="E10" i="32"/>
  <c r="F10" i="32"/>
  <c r="G10" i="32"/>
  <c r="H10" i="32"/>
  <c r="I10" i="32"/>
  <c r="J10" i="32"/>
  <c r="E11" i="32"/>
  <c r="F11" i="32"/>
  <c r="G11" i="32"/>
  <c r="H11" i="32"/>
  <c r="I11" i="32"/>
  <c r="J11" i="32"/>
  <c r="E12" i="32"/>
  <c r="F12" i="32"/>
  <c r="G12" i="32"/>
  <c r="H12" i="32"/>
  <c r="I12" i="32"/>
  <c r="J12" i="32"/>
  <c r="E13" i="32"/>
  <c r="F13" i="32"/>
  <c r="G13" i="32"/>
  <c r="H13" i="32"/>
  <c r="I13" i="32"/>
  <c r="J13" i="32"/>
  <c r="E14" i="32"/>
  <c r="F14" i="32"/>
  <c r="G14" i="32"/>
  <c r="H14" i="32"/>
  <c r="I14" i="32"/>
  <c r="J14" i="32"/>
  <c r="E15" i="32"/>
  <c r="F15" i="32"/>
  <c r="G15" i="32"/>
  <c r="H15" i="32"/>
  <c r="I15" i="32"/>
  <c r="J15" i="32"/>
  <c r="E16" i="32"/>
  <c r="F16" i="32"/>
  <c r="G16" i="32"/>
  <c r="H16" i="32"/>
  <c r="I16" i="32"/>
  <c r="J16" i="32"/>
  <c r="E17" i="32"/>
  <c r="F17" i="32"/>
  <c r="G17" i="32"/>
  <c r="H17" i="32"/>
  <c r="I17" i="32"/>
  <c r="J17" i="32"/>
  <c r="E18" i="32"/>
  <c r="F18" i="32"/>
  <c r="G18" i="32"/>
  <c r="H18" i="32"/>
  <c r="I18" i="32"/>
  <c r="J18" i="32"/>
  <c r="E19" i="32"/>
  <c r="F19" i="32"/>
  <c r="G19" i="32"/>
  <c r="H19" i="32"/>
  <c r="I19" i="32"/>
  <c r="J19" i="32"/>
  <c r="E20" i="32"/>
  <c r="F20" i="32"/>
  <c r="G20" i="32"/>
  <c r="H20" i="32"/>
  <c r="I20" i="32"/>
  <c r="J20" i="32"/>
  <c r="L11" i="11"/>
  <c r="J11" i="11" s="1"/>
  <c r="H11" i="11" s="1"/>
  <c r="F11" i="11" s="1"/>
  <c r="F12" i="11" s="1"/>
  <c r="B28" i="11"/>
  <c r="B29" i="11"/>
  <c r="B34" i="11"/>
  <c r="B35" i="11" s="1"/>
  <c r="A4" i="24"/>
  <c r="B4" i="21"/>
  <c r="B5" i="21"/>
  <c r="B6" i="21"/>
  <c r="B7" i="21"/>
  <c r="B8" i="21"/>
  <c r="B9" i="21"/>
  <c r="A13" i="21"/>
  <c r="A14" i="21" s="1"/>
  <c r="A15" i="21"/>
  <c r="B20" i="21"/>
  <c r="D20" i="21" s="1"/>
  <c r="A11" i="25"/>
  <c r="A12" i="25" s="1"/>
  <c r="A4" i="25"/>
  <c r="A5" i="25" s="1"/>
  <c r="A18" i="25"/>
  <c r="A19" i="25"/>
  <c r="A27" i="25"/>
  <c r="A28" i="25"/>
  <c r="A39" i="25"/>
  <c r="D44" i="25"/>
  <c r="D45" i="25"/>
  <c r="D46" i="25"/>
  <c r="D47" i="25"/>
  <c r="D48" i="25"/>
  <c r="D49" i="25"/>
  <c r="A45" i="25"/>
  <c r="A46" i="25" s="1"/>
  <c r="A47" i="25" s="1"/>
  <c r="A50" i="25" s="1"/>
  <c r="D50" i="25"/>
  <c r="D51" i="25"/>
  <c r="D52" i="25"/>
  <c r="D53" i="25"/>
  <c r="D54" i="25"/>
  <c r="D55" i="25"/>
  <c r="A58" i="25"/>
  <c r="A59" i="25" s="1"/>
  <c r="A9" i="5"/>
  <c r="A14" i="5"/>
  <c r="A15" i="5" s="1"/>
  <c r="A17" i="5"/>
  <c r="A22" i="5"/>
  <c r="A21" i="5" s="1"/>
  <c r="P11" i="3"/>
  <c r="C7" i="6"/>
  <c r="D7" i="6"/>
  <c r="E7" i="6"/>
  <c r="F7" i="6"/>
  <c r="G7" i="6"/>
  <c r="H7" i="6"/>
  <c r="I7" i="6"/>
  <c r="J7" i="6"/>
  <c r="K7" i="6"/>
  <c r="L7" i="6"/>
  <c r="M7" i="6"/>
  <c r="N7" i="6"/>
  <c r="O7" i="6"/>
  <c r="P7" i="6"/>
  <c r="Q7" i="6"/>
  <c r="R7" i="6"/>
  <c r="S7" i="6"/>
  <c r="C8" i="6"/>
  <c r="D8" i="6"/>
  <c r="E8" i="6"/>
  <c r="F8" i="6"/>
  <c r="G8" i="6"/>
  <c r="H8" i="6"/>
  <c r="I8" i="6"/>
  <c r="J8" i="6"/>
  <c r="K8" i="6"/>
  <c r="L8" i="6"/>
  <c r="M8" i="6"/>
  <c r="N8" i="6"/>
  <c r="O8" i="6"/>
  <c r="P8" i="6"/>
  <c r="Q8" i="6"/>
  <c r="R8" i="6"/>
  <c r="S8" i="6"/>
  <c r="C9" i="6"/>
  <c r="D9" i="6"/>
  <c r="E9" i="6"/>
  <c r="F9" i="6"/>
  <c r="G9" i="6"/>
  <c r="H9" i="6"/>
  <c r="I9" i="6"/>
  <c r="J9" i="6"/>
  <c r="K9" i="6"/>
  <c r="L9" i="6"/>
  <c r="M9" i="6"/>
  <c r="N9" i="6"/>
  <c r="O9" i="6"/>
  <c r="P9" i="6"/>
  <c r="Q9" i="6"/>
  <c r="R9" i="6"/>
  <c r="S9" i="6"/>
  <c r="C10" i="6"/>
  <c r="D10" i="6"/>
  <c r="E10" i="6"/>
  <c r="F10" i="6"/>
  <c r="G10" i="6"/>
  <c r="H10" i="6"/>
  <c r="I10" i="6"/>
  <c r="J10" i="6"/>
  <c r="K10" i="6"/>
  <c r="L10" i="6"/>
  <c r="M10" i="6"/>
  <c r="N10" i="6"/>
  <c r="O10" i="6"/>
  <c r="P10" i="6"/>
  <c r="Q10" i="6"/>
  <c r="R10" i="6"/>
  <c r="S10" i="6"/>
  <c r="C11" i="6"/>
  <c r="D11" i="6"/>
  <c r="E11" i="6"/>
  <c r="F11" i="6"/>
  <c r="G11" i="6"/>
  <c r="H11" i="6"/>
  <c r="I11" i="6"/>
  <c r="J11" i="6"/>
  <c r="K11" i="6"/>
  <c r="L11" i="6"/>
  <c r="M11" i="6"/>
  <c r="N11" i="6"/>
  <c r="O11" i="6"/>
  <c r="P11" i="6"/>
  <c r="Q11" i="6"/>
  <c r="R11" i="6"/>
  <c r="S11" i="6"/>
  <c r="C12" i="6"/>
  <c r="D12" i="6"/>
  <c r="E12" i="6"/>
  <c r="F12" i="6"/>
  <c r="G12" i="6"/>
  <c r="H12" i="6"/>
  <c r="I12" i="6"/>
  <c r="J12" i="6"/>
  <c r="K12" i="6"/>
  <c r="L12" i="6"/>
  <c r="M12" i="6"/>
  <c r="N12" i="6"/>
  <c r="O12" i="6"/>
  <c r="P12" i="6"/>
  <c r="Q12" i="6"/>
  <c r="R12" i="6"/>
  <c r="S12" i="6"/>
  <c r="C13" i="6"/>
  <c r="D13" i="6"/>
  <c r="E13" i="6"/>
  <c r="F13" i="6"/>
  <c r="G13" i="6"/>
  <c r="H13" i="6"/>
  <c r="I13" i="6"/>
  <c r="J13" i="6"/>
  <c r="K13" i="6"/>
  <c r="L13" i="6"/>
  <c r="M13" i="6"/>
  <c r="N13" i="6"/>
  <c r="O13" i="6"/>
  <c r="P13" i="6"/>
  <c r="Q13" i="6"/>
  <c r="R13" i="6"/>
  <c r="S13" i="6"/>
  <c r="C14" i="6"/>
  <c r="D14" i="6"/>
  <c r="E14" i="6"/>
  <c r="F14" i="6"/>
  <c r="G14" i="6"/>
  <c r="H14" i="6"/>
  <c r="I14" i="6"/>
  <c r="J14" i="6"/>
  <c r="K14" i="6"/>
  <c r="L14" i="6"/>
  <c r="M14" i="6"/>
  <c r="N14" i="6"/>
  <c r="O14" i="6"/>
  <c r="P14" i="6"/>
  <c r="Q14" i="6"/>
  <c r="R14" i="6"/>
  <c r="S14" i="6"/>
  <c r="C15" i="6"/>
  <c r="D15" i="6"/>
  <c r="E15" i="6"/>
  <c r="F15" i="6"/>
  <c r="G15" i="6"/>
  <c r="H15" i="6"/>
  <c r="I15" i="6"/>
  <c r="J15" i="6"/>
  <c r="K15" i="6"/>
  <c r="L15" i="6"/>
  <c r="M15" i="6"/>
  <c r="N15" i="6"/>
  <c r="O15" i="6"/>
  <c r="P15" i="6"/>
  <c r="Q15" i="6"/>
  <c r="R15" i="6"/>
  <c r="S15" i="6"/>
  <c r="C16" i="6"/>
  <c r="D16" i="6"/>
  <c r="E16" i="6"/>
  <c r="F16" i="6"/>
  <c r="G16" i="6"/>
  <c r="H16" i="6"/>
  <c r="I16" i="6"/>
  <c r="J16" i="6"/>
  <c r="K16" i="6"/>
  <c r="L16" i="6"/>
  <c r="M16" i="6"/>
  <c r="N16" i="6"/>
  <c r="O16" i="6"/>
  <c r="P16" i="6"/>
  <c r="Q16" i="6"/>
  <c r="R16" i="6"/>
  <c r="S16" i="6"/>
  <c r="C17" i="6"/>
  <c r="D17" i="6"/>
  <c r="E17" i="6"/>
  <c r="F17" i="6"/>
  <c r="G17" i="6"/>
  <c r="H17" i="6"/>
  <c r="I17" i="6"/>
  <c r="J17" i="6"/>
  <c r="K17" i="6"/>
  <c r="L17" i="6"/>
  <c r="M17" i="6"/>
  <c r="N17" i="6"/>
  <c r="O17" i="6"/>
  <c r="P17" i="6"/>
  <c r="Q17" i="6"/>
  <c r="R17" i="6"/>
  <c r="S17" i="6"/>
  <c r="C18" i="6"/>
  <c r="D18" i="6"/>
  <c r="E18" i="6"/>
  <c r="F18" i="6"/>
  <c r="G18" i="6"/>
  <c r="H18" i="6"/>
  <c r="I18" i="6"/>
  <c r="J18" i="6"/>
  <c r="K18" i="6"/>
  <c r="L18" i="6"/>
  <c r="M18" i="6"/>
  <c r="N18" i="6"/>
  <c r="O18" i="6"/>
  <c r="P18" i="6"/>
  <c r="Q18" i="6"/>
  <c r="R18" i="6"/>
  <c r="S18" i="6"/>
  <c r="C19" i="6"/>
  <c r="D19" i="6"/>
  <c r="E19" i="6"/>
  <c r="F19" i="6"/>
  <c r="G19" i="6"/>
  <c r="H19" i="6"/>
  <c r="I19" i="6"/>
  <c r="J19" i="6"/>
  <c r="K19" i="6"/>
  <c r="L19" i="6"/>
  <c r="M19" i="6"/>
  <c r="N19" i="6"/>
  <c r="O19" i="6"/>
  <c r="P19" i="6"/>
  <c r="Q19" i="6"/>
  <c r="R19" i="6"/>
  <c r="S19" i="6"/>
  <c r="H9" i="3"/>
  <c r="N12" i="3"/>
  <c r="H17" i="3"/>
  <c r="E11" i="3"/>
  <c r="C14" i="3"/>
  <c r="E15" i="3"/>
  <c r="K12" i="3"/>
  <c r="K9" i="3"/>
  <c r="M17" i="3"/>
  <c r="M14" i="3"/>
  <c r="L34" i="11"/>
  <c r="J15" i="12"/>
  <c r="K15" i="12" s="1"/>
  <c r="F15" i="12"/>
  <c r="A3" i="34"/>
  <c r="N17" i="3"/>
  <c r="L14" i="3"/>
  <c r="D13" i="3"/>
  <c r="J34" i="11"/>
  <c r="C16" i="3"/>
  <c r="G15" i="3"/>
  <c r="E12" i="3"/>
  <c r="E9" i="3"/>
  <c r="H34" i="11"/>
  <c r="H35" i="11"/>
  <c r="O11" i="3"/>
  <c r="L35" i="11"/>
  <c r="H15" i="3"/>
  <c r="N13" i="3"/>
  <c r="L13" i="3"/>
  <c r="H11" i="3"/>
  <c r="D9" i="3"/>
  <c r="F34" i="11"/>
  <c r="F17" i="12"/>
  <c r="G17" i="12" s="1"/>
  <c r="A19" i="5"/>
  <c r="M9" i="3"/>
  <c r="G14" i="3"/>
  <c r="K16" i="3"/>
  <c r="A11" i="5"/>
  <c r="A7" i="10"/>
  <c r="G4" i="37"/>
  <c r="I4" i="37"/>
  <c r="C3" i="34" l="1"/>
  <c r="M13" i="45"/>
  <c r="N13" i="45" s="1"/>
  <c r="N4" i="45"/>
  <c r="G13" i="45"/>
  <c r="I13" i="45"/>
  <c r="J13" i="45" s="1"/>
  <c r="A29" i="25"/>
  <c r="F38" i="41"/>
  <c r="G15" i="12"/>
  <c r="J16" i="3"/>
  <c r="A60" i="25"/>
  <c r="A30" i="25"/>
  <c r="B30" i="11"/>
  <c r="F13" i="11"/>
  <c r="H12" i="11"/>
  <c r="H13" i="11" s="1"/>
  <c r="M17" i="45"/>
  <c r="N17" i="45" s="1"/>
  <c r="N8" i="45"/>
  <c r="I17" i="45"/>
  <c r="J17" i="45" s="1"/>
  <c r="A21" i="10"/>
  <c r="A13" i="5"/>
  <c r="G16" i="12"/>
  <c r="H27" i="37"/>
  <c r="J33" i="46"/>
  <c r="A61" i="25"/>
  <c r="A62" i="25" s="1"/>
  <c r="A49" i="25"/>
  <c r="J12" i="11"/>
  <c r="D30" i="37"/>
  <c r="C32" i="37"/>
  <c r="D31" i="37"/>
  <c r="F14" i="3"/>
  <c r="D11" i="3"/>
  <c r="F15" i="3"/>
  <c r="G18" i="3"/>
  <c r="E14" i="3"/>
  <c r="E18" i="3"/>
  <c r="D10" i="3"/>
  <c r="C11" i="3"/>
  <c r="I12" i="3"/>
  <c r="K18" i="3"/>
  <c r="F16" i="3"/>
  <c r="M18" i="3"/>
  <c r="K11" i="3"/>
  <c r="N16" i="3"/>
  <c r="G17" i="3"/>
  <c r="H12" i="3"/>
  <c r="J11" i="3"/>
  <c r="E17" i="3"/>
  <c r="E13" i="3"/>
  <c r="M15" i="3"/>
  <c r="L15" i="3"/>
  <c r="D18" i="3"/>
  <c r="I10" i="3"/>
  <c r="N9" i="3"/>
  <c r="N14" i="3"/>
  <c r="I14" i="3"/>
  <c r="L17" i="3"/>
  <c r="D14" i="3"/>
  <c r="G12" i="3"/>
  <c r="J13" i="3"/>
  <c r="H30" i="46"/>
  <c r="G17" i="45"/>
  <c r="G16" i="45"/>
  <c r="N7" i="45"/>
  <c r="I16" i="45"/>
  <c r="J16" i="45" s="1"/>
  <c r="M16" i="45"/>
  <c r="N16" i="45" s="1"/>
  <c r="G15" i="45"/>
  <c r="M15" i="45"/>
  <c r="N15" i="45" s="1"/>
  <c r="I15" i="45"/>
  <c r="J15" i="45" s="1"/>
  <c r="M14" i="45"/>
  <c r="N14" i="45" s="1"/>
  <c r="N5" i="45"/>
  <c r="I14" i="45"/>
  <c r="J14" i="45" s="1"/>
  <c r="G14" i="45"/>
  <c r="G27" i="37"/>
  <c r="I27" i="37"/>
  <c r="L56" i="4"/>
  <c r="D56" i="4"/>
  <c r="J55" i="4"/>
  <c r="P54" i="4"/>
  <c r="H54" i="4"/>
  <c r="N53" i="4"/>
  <c r="F53" i="4"/>
  <c r="L52" i="4"/>
  <c r="D52" i="4"/>
  <c r="J51" i="4"/>
  <c r="P50" i="4"/>
  <c r="H50" i="4"/>
  <c r="N49" i="4"/>
  <c r="F49" i="4"/>
  <c r="L48" i="4"/>
  <c r="D48" i="4"/>
  <c r="J47" i="4"/>
  <c r="P46" i="4"/>
  <c r="H46" i="4"/>
  <c r="N45" i="4"/>
  <c r="F45" i="4"/>
  <c r="L44" i="4"/>
  <c r="D44" i="4"/>
  <c r="J43" i="4"/>
  <c r="P42" i="4"/>
  <c r="H42" i="4"/>
  <c r="N41" i="4"/>
  <c r="F41" i="4"/>
  <c r="L40" i="4"/>
  <c r="D40" i="4"/>
  <c r="J39" i="4"/>
  <c r="P38" i="4"/>
  <c r="H38" i="4"/>
  <c r="N37" i="4"/>
  <c r="F37" i="4"/>
  <c r="L36" i="4"/>
  <c r="Q31" i="4"/>
  <c r="I31" i="4"/>
  <c r="O30" i="4"/>
  <c r="G30" i="4"/>
  <c r="M29" i="4"/>
  <c r="E29" i="4"/>
  <c r="K28" i="4"/>
  <c r="Q27" i="4"/>
  <c r="I27" i="4"/>
  <c r="O26" i="4"/>
  <c r="G26" i="4"/>
  <c r="M25" i="4"/>
  <c r="E25" i="4"/>
  <c r="K24" i="4"/>
  <c r="Q23" i="4"/>
  <c r="I23" i="4"/>
  <c r="O22" i="4"/>
  <c r="G22" i="4"/>
  <c r="M21" i="4"/>
  <c r="E21" i="4"/>
  <c r="K20" i="4"/>
  <c r="Q19" i="4"/>
  <c r="I19" i="4"/>
  <c r="J56" i="4"/>
  <c r="P55" i="4"/>
  <c r="H55" i="4"/>
  <c r="N54" i="4"/>
  <c r="F54" i="4"/>
  <c r="L53" i="4"/>
  <c r="D53" i="4"/>
  <c r="J52" i="4"/>
  <c r="P51" i="4"/>
  <c r="H51" i="4"/>
  <c r="N50" i="4"/>
  <c r="F50" i="4"/>
  <c r="L49" i="4"/>
  <c r="D49" i="4"/>
  <c r="J48" i="4"/>
  <c r="P47" i="4"/>
  <c r="H47" i="4"/>
  <c r="N46" i="4"/>
  <c r="F46" i="4"/>
  <c r="L45" i="4"/>
  <c r="D45" i="4"/>
  <c r="J44" i="4"/>
  <c r="P43" i="4"/>
  <c r="H43" i="4"/>
  <c r="N42" i="4"/>
  <c r="F42" i="4"/>
  <c r="L41" i="4"/>
  <c r="D41" i="4"/>
  <c r="J40" i="4"/>
  <c r="P39" i="4"/>
  <c r="H39" i="4"/>
  <c r="N38" i="4"/>
  <c r="F38" i="4"/>
  <c r="L37" i="4"/>
  <c r="D37" i="4"/>
  <c r="J36" i="4"/>
  <c r="O31" i="4"/>
  <c r="G31" i="4"/>
  <c r="M30" i="4"/>
  <c r="E30" i="4"/>
  <c r="K29" i="4"/>
  <c r="Q28" i="4"/>
  <c r="I28" i="4"/>
  <c r="O27" i="4"/>
  <c r="G27" i="4"/>
  <c r="M26" i="4"/>
  <c r="E26" i="4"/>
  <c r="K25" i="4"/>
  <c r="Q24" i="4"/>
  <c r="I24" i="4"/>
  <c r="O23" i="4"/>
  <c r="G23" i="4"/>
  <c r="M22" i="4"/>
  <c r="E22" i="4"/>
  <c r="K21" i="4"/>
  <c r="Q20" i="4"/>
  <c r="I20" i="4"/>
  <c r="O19" i="4"/>
  <c r="G19" i="4"/>
  <c r="M18" i="4"/>
  <c r="E18" i="4"/>
  <c r="K17" i="4"/>
  <c r="Q16" i="4"/>
  <c r="I16" i="4"/>
  <c r="O15" i="4"/>
  <c r="G15" i="4"/>
  <c r="M14" i="4"/>
  <c r="E14" i="4"/>
  <c r="K13" i="4"/>
  <c r="Q12" i="4"/>
  <c r="I12" i="4"/>
  <c r="O11" i="4"/>
  <c r="G11" i="4"/>
  <c r="M10" i="4"/>
  <c r="E10" i="4"/>
  <c r="H56" i="4"/>
  <c r="J53" i="4"/>
  <c r="H52" i="4"/>
  <c r="F51" i="4"/>
  <c r="D50" i="4"/>
  <c r="P48" i="4"/>
  <c r="Q56" i="4"/>
  <c r="I56" i="4"/>
  <c r="O55" i="4"/>
  <c r="G55" i="4"/>
  <c r="M54" i="4"/>
  <c r="E54" i="4"/>
  <c r="K53" i="4"/>
  <c r="Q52" i="4"/>
  <c r="I52" i="4"/>
  <c r="O51" i="4"/>
  <c r="G51" i="4"/>
  <c r="M50" i="4"/>
  <c r="E50" i="4"/>
  <c r="K49" i="4"/>
  <c r="Q48" i="4"/>
  <c r="I48" i="4"/>
  <c r="O47" i="4"/>
  <c r="G47" i="4"/>
  <c r="M46" i="4"/>
  <c r="E46" i="4"/>
  <c r="K45" i="4"/>
  <c r="Q44" i="4"/>
  <c r="I44" i="4"/>
  <c r="O43" i="4"/>
  <c r="G43" i="4"/>
  <c r="M42" i="4"/>
  <c r="E42" i="4"/>
  <c r="K41" i="4"/>
  <c r="Q40" i="4"/>
  <c r="I40" i="4"/>
  <c r="O39" i="4"/>
  <c r="G39" i="4"/>
  <c r="M38" i="4"/>
  <c r="E38" i="4"/>
  <c r="K37" i="4"/>
  <c r="Q36" i="4"/>
  <c r="I36" i="4"/>
  <c r="N31" i="4"/>
  <c r="F31" i="4"/>
  <c r="L30" i="4"/>
  <c r="D30" i="4"/>
  <c r="J29" i="4"/>
  <c r="P28" i="4"/>
  <c r="H28" i="4"/>
  <c r="N27" i="4"/>
  <c r="F27" i="4"/>
  <c r="L26" i="4"/>
  <c r="D26" i="4"/>
  <c r="J25" i="4"/>
  <c r="P24" i="4"/>
  <c r="H24" i="4"/>
  <c r="N23" i="4"/>
  <c r="F23" i="4"/>
  <c r="L22" i="4"/>
  <c r="D22" i="4"/>
  <c r="J21" i="4"/>
  <c r="P20" i="4"/>
  <c r="H20" i="4"/>
  <c r="N19" i="4"/>
  <c r="F19" i="4"/>
  <c r="L18" i="4"/>
  <c r="D18" i="4"/>
  <c r="J17" i="4"/>
  <c r="P16" i="4"/>
  <c r="H16" i="4"/>
  <c r="N15" i="4"/>
  <c r="F15" i="4"/>
  <c r="L14" i="4"/>
  <c r="D14" i="4"/>
  <c r="J13" i="4"/>
  <c r="P12" i="4"/>
  <c r="H12" i="4"/>
  <c r="N11" i="4"/>
  <c r="F11" i="4"/>
  <c r="L10" i="4"/>
  <c r="P56" i="4"/>
  <c r="N55" i="4"/>
  <c r="F55" i="4"/>
  <c r="L54" i="4"/>
  <c r="D54" i="4"/>
  <c r="P52" i="4"/>
  <c r="N51" i="4"/>
  <c r="L50" i="4"/>
  <c r="J49" i="4"/>
  <c r="H48" i="4"/>
  <c r="F56" i="4"/>
  <c r="D55" i="4"/>
  <c r="P53" i="4"/>
  <c r="N52" i="4"/>
  <c r="L51" i="4"/>
  <c r="J50" i="4"/>
  <c r="H49" i="4"/>
  <c r="F48" i="4"/>
  <c r="F47" i="4"/>
  <c r="I46" i="4"/>
  <c r="I45" i="4"/>
  <c r="K44" i="4"/>
  <c r="L43" i="4"/>
  <c r="L42" i="4"/>
  <c r="O41" i="4"/>
  <c r="O40" i="4"/>
  <c r="Q39" i="4"/>
  <c r="D39" i="4"/>
  <c r="D38" i="4"/>
  <c r="G37" i="4"/>
  <c r="G36" i="4"/>
  <c r="H31" i="4"/>
  <c r="I30" i="4"/>
  <c r="I29" i="4"/>
  <c r="L28" i="4"/>
  <c r="L27" i="4"/>
  <c r="N26" i="4"/>
  <c r="O25" i="4"/>
  <c r="O24" i="4"/>
  <c r="D24" i="4"/>
  <c r="D23" i="4"/>
  <c r="F22" i="4"/>
  <c r="G21" i="4"/>
  <c r="G20" i="4"/>
  <c r="J19" i="4"/>
  <c r="K18" i="4"/>
  <c r="O17" i="4"/>
  <c r="E17" i="4"/>
  <c r="G16" i="4"/>
  <c r="K15" i="4"/>
  <c r="O14" i="4"/>
  <c r="Q13" i="4"/>
  <c r="G13" i="4"/>
  <c r="K12" i="4"/>
  <c r="M11" i="4"/>
  <c r="Q10" i="4"/>
  <c r="G10" i="4"/>
  <c r="F16" i="4"/>
  <c r="N14" i="4"/>
  <c r="F13" i="4"/>
  <c r="L11" i="4"/>
  <c r="F10" i="4"/>
  <c r="O54" i="4"/>
  <c r="M53" i="4"/>
  <c r="I51" i="4"/>
  <c r="G50" i="4"/>
  <c r="Q47" i="4"/>
  <c r="D46" i="4"/>
  <c r="G44" i="4"/>
  <c r="J42" i="4"/>
  <c r="M40" i="4"/>
  <c r="M39" i="4"/>
  <c r="P37" i="4"/>
  <c r="E36" i="4"/>
  <c r="F30" i="4"/>
  <c r="G28" i="4"/>
  <c r="J26" i="4"/>
  <c r="M24" i="4"/>
  <c r="M23" i="4"/>
  <c r="P21" i="4"/>
  <c r="E20" i="4"/>
  <c r="E19" i="4"/>
  <c r="M17" i="4"/>
  <c r="E16" i="4"/>
  <c r="K14" i="4"/>
  <c r="E13" i="4"/>
  <c r="K11" i="4"/>
  <c r="O10" i="4"/>
  <c r="P29" i="4"/>
  <c r="H25" i="4"/>
  <c r="K22" i="4"/>
  <c r="P19" i="4"/>
  <c r="M16" i="4"/>
  <c r="I14" i="4"/>
  <c r="E12" i="4"/>
  <c r="E56" i="4"/>
  <c r="Q54" i="4"/>
  <c r="O53" i="4"/>
  <c r="M52" i="4"/>
  <c r="K51" i="4"/>
  <c r="I50" i="4"/>
  <c r="G49" i="4"/>
  <c r="E48" i="4"/>
  <c r="E47" i="4"/>
  <c r="G46" i="4"/>
  <c r="H45" i="4"/>
  <c r="H44" i="4"/>
  <c r="K43" i="4"/>
  <c r="K42" i="4"/>
  <c r="M41" i="4"/>
  <c r="N40" i="4"/>
  <c r="N39" i="4"/>
  <c r="Q38" i="4"/>
  <c r="Q37" i="4"/>
  <c r="E37" i="4"/>
  <c r="F36" i="4"/>
  <c r="E31" i="4"/>
  <c r="H30" i="4"/>
  <c r="H29" i="4"/>
  <c r="J28" i="4"/>
  <c r="K27" i="4"/>
  <c r="K26" i="4"/>
  <c r="N25" i="4"/>
  <c r="N24" i="4"/>
  <c r="P23" i="4"/>
  <c r="Q22" i="4"/>
  <c r="Q21" i="4"/>
  <c r="F21" i="4"/>
  <c r="F20" i="4"/>
  <c r="H19" i="4"/>
  <c r="J18" i="4"/>
  <c r="N17" i="4"/>
  <c r="D17" i="4"/>
  <c r="J15" i="4"/>
  <c r="P13" i="4"/>
  <c r="J12" i="4"/>
  <c r="P10" i="4"/>
  <c r="Q55" i="4"/>
  <c r="K52" i="4"/>
  <c r="E49" i="4"/>
  <c r="D47" i="4"/>
  <c r="G45" i="4"/>
  <c r="I43" i="4"/>
  <c r="J41" i="4"/>
  <c r="O38" i="4"/>
  <c r="P36" i="4"/>
  <c r="D31" i="4"/>
  <c r="G29" i="4"/>
  <c r="J27" i="4"/>
  <c r="L25" i="4"/>
  <c r="P22" i="4"/>
  <c r="D21" i="4"/>
  <c r="I18" i="4"/>
  <c r="O16" i="4"/>
  <c r="I15" i="4"/>
  <c r="O13" i="4"/>
  <c r="G12" i="4"/>
  <c r="P30" i="4"/>
  <c r="H26" i="4"/>
  <c r="K23" i="4"/>
  <c r="N20" i="4"/>
  <c r="G18" i="4"/>
  <c r="Q15" i="4"/>
  <c r="M13" i="4"/>
  <c r="O56" i="4"/>
  <c r="M55" i="4"/>
  <c r="K54" i="4"/>
  <c r="I53" i="4"/>
  <c r="G52" i="4"/>
  <c r="E51" i="4"/>
  <c r="Q49" i="4"/>
  <c r="O48" i="4"/>
  <c r="N47" i="4"/>
  <c r="Q46" i="4"/>
  <c r="Q45" i="4"/>
  <c r="E45" i="4"/>
  <c r="F44" i="4"/>
  <c r="F43" i="4"/>
  <c r="I42" i="4"/>
  <c r="I41" i="4"/>
  <c r="K40" i="4"/>
  <c r="L39" i="4"/>
  <c r="L38" i="4"/>
  <c r="O37" i="4"/>
  <c r="O36" i="4"/>
  <c r="P31" i="4"/>
  <c r="Q30" i="4"/>
  <c r="Q29" i="4"/>
  <c r="F29" i="4"/>
  <c r="F28" i="4"/>
  <c r="H27" i="4"/>
  <c r="I26" i="4"/>
  <c r="I25" i="4"/>
  <c r="L24" i="4"/>
  <c r="L23" i="4"/>
  <c r="N22" i="4"/>
  <c r="O21" i="4"/>
  <c r="O20" i="4"/>
  <c r="D20" i="4"/>
  <c r="D19" i="4"/>
  <c r="H18" i="4"/>
  <c r="L17" i="4"/>
  <c r="N16" i="4"/>
  <c r="D16" i="4"/>
  <c r="H15" i="4"/>
  <c r="J14" i="4"/>
  <c r="N13" i="4"/>
  <c r="D13" i="4"/>
  <c r="F12" i="4"/>
  <c r="J11" i="4"/>
  <c r="N10" i="4"/>
  <c r="N56" i="4"/>
  <c r="L55" i="4"/>
  <c r="J54" i="4"/>
  <c r="H53" i="4"/>
  <c r="F52" i="4"/>
  <c r="D51" i="4"/>
  <c r="P49" i="4"/>
  <c r="N48" i="4"/>
  <c r="M47" i="4"/>
  <c r="O46" i="4"/>
  <c r="P45" i="4"/>
  <c r="P44" i="4"/>
  <c r="E44" i="4"/>
  <c r="E43" i="4"/>
  <c r="G42" i="4"/>
  <c r="H41" i="4"/>
  <c r="H40" i="4"/>
  <c r="K39" i="4"/>
  <c r="K38" i="4"/>
  <c r="M37" i="4"/>
  <c r="N36" i="4"/>
  <c r="M31" i="4"/>
  <c r="D29" i="4"/>
  <c r="E28" i="4"/>
  <c r="E27" i="4"/>
  <c r="J24" i="4"/>
  <c r="N21" i="4"/>
  <c r="Q18" i="4"/>
  <c r="I17" i="4"/>
  <c r="E15" i="4"/>
  <c r="O12" i="4"/>
  <c r="I11" i="4"/>
  <c r="E55" i="4"/>
  <c r="Q51" i="4"/>
  <c r="M48" i="4"/>
  <c r="J46" i="4"/>
  <c r="N43" i="4"/>
  <c r="G41" i="4"/>
  <c r="E39" i="4"/>
  <c r="K36" i="4"/>
  <c r="O29" i="4"/>
  <c r="M27" i="4"/>
  <c r="F25" i="4"/>
  <c r="J22" i="4"/>
  <c r="J20" i="4"/>
  <c r="Q17" i="4"/>
  <c r="P15" i="4"/>
  <c r="F14" i="4"/>
  <c r="Q11" i="4"/>
  <c r="H10" i="4"/>
  <c r="G54" i="4"/>
  <c r="G48" i="4"/>
  <c r="D43" i="4"/>
  <c r="I38" i="4"/>
  <c r="L31" i="4"/>
  <c r="Q26" i="4"/>
  <c r="H22" i="4"/>
  <c r="H17" i="4"/>
  <c r="I13" i="4"/>
  <c r="G53" i="4"/>
  <c r="O44" i="4"/>
  <c r="F40" i="4"/>
  <c r="J31" i="4"/>
  <c r="E24" i="4"/>
  <c r="P18" i="4"/>
  <c r="N12" i="4"/>
  <c r="E53" i="4"/>
  <c r="D42" i="4"/>
  <c r="N30" i="4"/>
  <c r="J23" i="4"/>
  <c r="L16" i="4"/>
  <c r="K10" i="4"/>
  <c r="O52" i="4"/>
  <c r="M44" i="4"/>
  <c r="H37" i="4"/>
  <c r="P25" i="4"/>
  <c r="N18" i="4"/>
  <c r="L12" i="4"/>
  <c r="I49" i="4"/>
  <c r="P41" i="4"/>
  <c r="J30" i="4"/>
  <c r="E23" i="4"/>
  <c r="F18" i="4"/>
  <c r="D12" i="4"/>
  <c r="I54" i="4"/>
  <c r="M51" i="4"/>
  <c r="K48" i="4"/>
  <c r="O45" i="4"/>
  <c r="M43" i="4"/>
  <c r="E41" i="4"/>
  <c r="J38" i="4"/>
  <c r="H36" i="4"/>
  <c r="N29" i="4"/>
  <c r="D27" i="4"/>
  <c r="D25" i="4"/>
  <c r="I22" i="4"/>
  <c r="M19" i="4"/>
  <c r="P17" i="4"/>
  <c r="M15" i="4"/>
  <c r="L13" i="4"/>
  <c r="P11" i="4"/>
  <c r="Q50" i="4"/>
  <c r="M45" i="4"/>
  <c r="P40" i="4"/>
  <c r="L29" i="4"/>
  <c r="G24" i="4"/>
  <c r="L19" i="4"/>
  <c r="L15" i="4"/>
  <c r="H11" i="4"/>
  <c r="K50" i="4"/>
  <c r="J37" i="4"/>
  <c r="F26" i="4"/>
  <c r="F17" i="4"/>
  <c r="G56" i="4"/>
  <c r="I47" i="4"/>
  <c r="E40" i="4"/>
  <c r="M28" i="4"/>
  <c r="H21" i="4"/>
  <c r="M12" i="4"/>
  <c r="M49" i="4"/>
  <c r="Q41" i="4"/>
  <c r="K30" i="4"/>
  <c r="M20" i="4"/>
  <c r="H14" i="4"/>
  <c r="I55" i="4"/>
  <c r="K46" i="4"/>
  <c r="F39" i="4"/>
  <c r="P27" i="4"/>
  <c r="J16" i="4"/>
  <c r="M56" i="4"/>
  <c r="Q53" i="4"/>
  <c r="O50" i="4"/>
  <c r="L47" i="4"/>
  <c r="J45" i="4"/>
  <c r="Q42" i="4"/>
  <c r="G40" i="4"/>
  <c r="G38" i="4"/>
  <c r="K31" i="4"/>
  <c r="O28" i="4"/>
  <c r="P26" i="4"/>
  <c r="F24" i="4"/>
  <c r="L21" i="4"/>
  <c r="K19" i="4"/>
  <c r="G17" i="4"/>
  <c r="D15" i="4"/>
  <c r="H13" i="4"/>
  <c r="E11" i="4"/>
  <c r="K56" i="4"/>
  <c r="K47" i="4"/>
  <c r="O42" i="4"/>
  <c r="N28" i="4"/>
  <c r="I21" i="4"/>
  <c r="Q14" i="4"/>
  <c r="D11" i="4"/>
  <c r="O49" i="4"/>
  <c r="N44" i="4"/>
  <c r="I37" i="4"/>
  <c r="Q25" i="4"/>
  <c r="O18" i="4"/>
  <c r="P14" i="4"/>
  <c r="K55" i="4"/>
  <c r="L46" i="4"/>
  <c r="I39" i="4"/>
  <c r="D28" i="4"/>
  <c r="H23" i="4"/>
  <c r="K16" i="4"/>
  <c r="J10" i="4"/>
  <c r="E52" i="4"/>
  <c r="Q43" i="4"/>
  <c r="M36" i="4"/>
  <c r="G25" i="4"/>
  <c r="L20" i="4"/>
  <c r="G14" i="4"/>
  <c r="I10" i="4"/>
  <c r="D10" i="4"/>
  <c r="A10" i="44"/>
  <c r="A14" i="44"/>
  <c r="A15" i="44" s="1"/>
  <c r="J35" i="11"/>
  <c r="F35" i="11"/>
  <c r="B31" i="11"/>
  <c r="B32" i="11" s="1"/>
  <c r="B33" i="11" s="1"/>
  <c r="D30" i="46"/>
  <c r="A31" i="46"/>
  <c r="J31" i="46"/>
  <c r="H32" i="46"/>
  <c r="F33" i="46"/>
  <c r="D34" i="46"/>
  <c r="A35" i="46"/>
  <c r="J35" i="46"/>
  <c r="H36" i="46"/>
  <c r="F37" i="46"/>
  <c r="D38" i="46"/>
  <c r="A39" i="46"/>
  <c r="J39" i="46"/>
  <c r="H40" i="46"/>
  <c r="F41" i="46"/>
  <c r="D42" i="46"/>
  <c r="A43" i="46"/>
  <c r="J43" i="46"/>
  <c r="H44" i="46"/>
  <c r="F45" i="46"/>
  <c r="D46" i="46"/>
  <c r="A23" i="5"/>
  <c r="B2" i="34"/>
  <c r="J14" i="12"/>
  <c r="K14" i="12" s="1"/>
  <c r="C9" i="3"/>
  <c r="F31" i="46"/>
  <c r="D32" i="46"/>
  <c r="A33" i="46"/>
  <c r="H34" i="46"/>
  <c r="F35" i="46"/>
  <c r="D36" i="46"/>
  <c r="A37" i="46"/>
  <c r="J37" i="46"/>
  <c r="H38" i="46"/>
  <c r="F39" i="46"/>
  <c r="D40" i="46"/>
  <c r="A41" i="46"/>
  <c r="J41" i="46"/>
  <c r="H42" i="46"/>
  <c r="F43" i="46"/>
  <c r="D44" i="46"/>
  <c r="A45" i="46"/>
  <c r="J45" i="46"/>
  <c r="H46" i="46"/>
  <c r="A22" i="44"/>
  <c r="O15" i="3"/>
  <c r="H14" i="3"/>
  <c r="H18" i="3"/>
  <c r="M16" i="3"/>
  <c r="J15" i="3"/>
  <c r="C17" i="3"/>
  <c r="I16" i="3"/>
  <c r="M11" i="3"/>
  <c r="J14" i="3"/>
  <c r="L12" i="3"/>
  <c r="C12" i="3"/>
  <c r="P15" i="3"/>
  <c r="D17" i="3"/>
  <c r="O9" i="3"/>
  <c r="I18" i="3"/>
  <c r="O16" i="3"/>
  <c r="K10" i="3"/>
  <c r="L11" i="3"/>
  <c r="H10" i="3"/>
  <c r="G11" i="3"/>
  <c r="J17" i="3"/>
  <c r="M10" i="3"/>
  <c r="N10" i="3"/>
  <c r="O10" i="3"/>
  <c r="J9" i="3"/>
  <c r="G16" i="3"/>
  <c r="I9" i="3"/>
  <c r="J10" i="3"/>
  <c r="N18" i="3"/>
  <c r="F12" i="3"/>
  <c r="C15" i="3"/>
  <c r="L10" i="3"/>
  <c r="L16" i="3"/>
  <c r="P16" i="3"/>
  <c r="K15" i="3"/>
  <c r="I11" i="3"/>
  <c r="K17" i="3"/>
  <c r="D16" i="3"/>
  <c r="G10" i="3"/>
  <c r="O13" i="3"/>
  <c r="N11" i="3"/>
  <c r="O17" i="3"/>
  <c r="K14" i="3"/>
  <c r="C10" i="3"/>
  <c r="D15" i="3"/>
  <c r="F17" i="3"/>
  <c r="F11" i="3"/>
  <c r="P9" i="3"/>
  <c r="K13" i="3"/>
  <c r="F18" i="3"/>
  <c r="F10" i="3"/>
  <c r="C13" i="3"/>
  <c r="P10" i="3"/>
  <c r="G13" i="3"/>
  <c r="G9" i="3"/>
  <c r="I15" i="3"/>
  <c r="H16" i="3"/>
  <c r="C18" i="3"/>
  <c r="I13" i="3"/>
  <c r="J18" i="3"/>
  <c r="P13" i="3"/>
  <c r="N15" i="3"/>
  <c r="L9" i="3"/>
  <c r="D12" i="3"/>
  <c r="O18" i="3"/>
  <c r="M12" i="3"/>
  <c r="P12" i="3"/>
  <c r="P18" i="3"/>
  <c r="J12" i="3"/>
  <c r="M13" i="3"/>
  <c r="F9" i="3"/>
  <c r="F13" i="3"/>
  <c r="O14" i="3"/>
  <c r="E10" i="3"/>
  <c r="E16" i="3"/>
  <c r="L18" i="3"/>
  <c r="I17" i="3"/>
  <c r="O12" i="3"/>
  <c r="P17" i="3"/>
  <c r="H13" i="3"/>
  <c r="D34" i="47"/>
  <c r="D33" i="47"/>
  <c r="D32" i="47"/>
  <c r="D31" i="47"/>
  <c r="D30" i="47"/>
  <c r="D29" i="47"/>
  <c r="D28" i="47"/>
  <c r="D27" i="47"/>
  <c r="D26" i="47"/>
  <c r="D25" i="47"/>
  <c r="D24" i="47"/>
  <c r="D23" i="47"/>
  <c r="D22" i="47"/>
  <c r="D20" i="47"/>
  <c r="D18" i="47"/>
  <c r="D21" i="47"/>
  <c r="D19" i="47"/>
  <c r="D17" i="47"/>
  <c r="D16" i="47"/>
  <c r="D15" i="47"/>
  <c r="D14" i="47"/>
  <c r="D13" i="47"/>
  <c r="D12" i="47"/>
  <c r="D11" i="47"/>
  <c r="D10" i="47"/>
  <c r="D9" i="47"/>
  <c r="F34" i="47"/>
  <c r="F33" i="47"/>
  <c r="F32" i="47"/>
  <c r="F31" i="47"/>
  <c r="F30" i="47"/>
  <c r="F29" i="47"/>
  <c r="F28" i="47"/>
  <c r="F27" i="47"/>
  <c r="F26" i="47"/>
  <c r="F25" i="47"/>
  <c r="F24" i="47"/>
  <c r="F23" i="47"/>
  <c r="F22" i="47"/>
  <c r="F21" i="47"/>
  <c r="F19" i="47"/>
  <c r="F20" i="47"/>
  <c r="F18" i="47"/>
  <c r="F17" i="47"/>
  <c r="F16" i="47"/>
  <c r="F15" i="47"/>
  <c r="F14" i="47"/>
  <c r="F13" i="47"/>
  <c r="F12" i="47"/>
  <c r="F11" i="47"/>
  <c r="F10" i="47"/>
  <c r="F9" i="47"/>
  <c r="H34" i="47"/>
  <c r="H33" i="47"/>
  <c r="H32" i="47"/>
  <c r="H31" i="47"/>
  <c r="H30" i="47"/>
  <c r="H29" i="47"/>
  <c r="H28" i="47"/>
  <c r="H27" i="47"/>
  <c r="H26" i="47"/>
  <c r="H25" i="47"/>
  <c r="H24" i="47"/>
  <c r="H23" i="47"/>
  <c r="H22" i="47"/>
  <c r="H21" i="47"/>
  <c r="H20" i="47"/>
  <c r="H18" i="47"/>
  <c r="H19" i="47"/>
  <c r="H17" i="47"/>
  <c r="H16" i="47"/>
  <c r="H15" i="47"/>
  <c r="H14" i="47"/>
  <c r="H13" i="47"/>
  <c r="H12" i="47"/>
  <c r="H11" i="47"/>
  <c r="H10" i="47"/>
  <c r="H9" i="47"/>
  <c r="J34" i="47"/>
  <c r="J33" i="47"/>
  <c r="J32" i="47"/>
  <c r="J31" i="47"/>
  <c r="J30" i="47"/>
  <c r="J29" i="47"/>
  <c r="J28" i="47"/>
  <c r="J27" i="47"/>
  <c r="J26" i="47"/>
  <c r="J25" i="47"/>
  <c r="J24" i="47"/>
  <c r="J23" i="47"/>
  <c r="J22" i="47"/>
  <c r="J21" i="47"/>
  <c r="J19" i="47"/>
  <c r="J20" i="47"/>
  <c r="J18" i="47"/>
  <c r="J17" i="47"/>
  <c r="J16" i="47"/>
  <c r="J15" i="47"/>
  <c r="J14" i="47"/>
  <c r="J13" i="47"/>
  <c r="J12" i="47"/>
  <c r="J11" i="47"/>
  <c r="J10" i="47"/>
  <c r="J9" i="47"/>
  <c r="C34" i="47"/>
  <c r="C33" i="47"/>
  <c r="C32" i="47"/>
  <c r="C31" i="47"/>
  <c r="C30" i="47"/>
  <c r="C29" i="47"/>
  <c r="C28" i="47"/>
  <c r="C27" i="47"/>
  <c r="C26" i="47"/>
  <c r="C25" i="47"/>
  <c r="C24" i="47"/>
  <c r="C23" i="47"/>
  <c r="C22" i="47"/>
  <c r="C21" i="47"/>
  <c r="C20" i="47"/>
  <c r="C19" i="47"/>
  <c r="C18" i="47"/>
  <c r="E34" i="47"/>
  <c r="E33" i="47"/>
  <c r="E32" i="47"/>
  <c r="E31" i="47"/>
  <c r="E30" i="47"/>
  <c r="E29" i="47"/>
  <c r="E28" i="47"/>
  <c r="E27" i="47"/>
  <c r="E26" i="47"/>
  <c r="E25" i="47"/>
  <c r="E24" i="47"/>
  <c r="E23" i="47"/>
  <c r="E22" i="47"/>
  <c r="E21" i="47"/>
  <c r="E20" i="47"/>
  <c r="E19" i="47"/>
  <c r="E18" i="47"/>
  <c r="G34" i="47"/>
  <c r="G33" i="47"/>
  <c r="G32" i="47"/>
  <c r="G31" i="47"/>
  <c r="G30" i="47"/>
  <c r="G29" i="47"/>
  <c r="G28" i="47"/>
  <c r="G27" i="47"/>
  <c r="G26" i="47"/>
  <c r="G25" i="47"/>
  <c r="G24" i="47"/>
  <c r="G23" i="47"/>
  <c r="G22" i="47"/>
  <c r="G21" i="47"/>
  <c r="G20" i="47"/>
  <c r="G19" i="47"/>
  <c r="G18" i="47"/>
  <c r="I34" i="47"/>
  <c r="I33" i="47"/>
  <c r="I32" i="47"/>
  <c r="I31" i="47"/>
  <c r="I30" i="47"/>
  <c r="I29" i="47"/>
  <c r="I28" i="47"/>
  <c r="I27" i="47"/>
  <c r="I26" i="47"/>
  <c r="I25" i="47"/>
  <c r="I24" i="47"/>
  <c r="I23" i="47"/>
  <c r="I22" i="47"/>
  <c r="I21" i="47"/>
  <c r="I20" i="47"/>
  <c r="I19" i="47"/>
  <c r="I18" i="47"/>
  <c r="K34" i="47"/>
  <c r="K33" i="47"/>
  <c r="K32" i="47"/>
  <c r="K31" i="47"/>
  <c r="K30" i="47"/>
  <c r="K29" i="47"/>
  <c r="K28" i="47"/>
  <c r="K27" i="47"/>
  <c r="K26" i="47"/>
  <c r="K25" i="47"/>
  <c r="K24" i="47"/>
  <c r="K23" i="47"/>
  <c r="K22" i="47"/>
  <c r="K21" i="47"/>
  <c r="K20" i="47"/>
  <c r="K19" i="47"/>
  <c r="K18" i="47"/>
  <c r="C9" i="47"/>
  <c r="E9" i="47"/>
  <c r="G9" i="47"/>
  <c r="I9" i="47"/>
  <c r="K9" i="47"/>
  <c r="C10" i="47"/>
  <c r="E10" i="47"/>
  <c r="G10" i="47"/>
  <c r="I10" i="47"/>
  <c r="K10" i="47"/>
  <c r="C11" i="47"/>
  <c r="E11" i="47"/>
  <c r="G11" i="47"/>
  <c r="I11" i="47"/>
  <c r="K11" i="47"/>
  <c r="C12" i="47"/>
  <c r="E12" i="47"/>
  <c r="G12" i="47"/>
  <c r="I12" i="47"/>
  <c r="K12" i="47"/>
  <c r="C13" i="47"/>
  <c r="E13" i="47"/>
  <c r="G13" i="47"/>
  <c r="I13" i="47"/>
  <c r="K13" i="47"/>
  <c r="C14" i="47"/>
  <c r="E14" i="47"/>
  <c r="G14" i="47"/>
  <c r="I14" i="47"/>
  <c r="K14" i="47"/>
  <c r="C15" i="47"/>
  <c r="E15" i="47"/>
  <c r="G15" i="47"/>
  <c r="I15" i="47"/>
  <c r="K15" i="47"/>
  <c r="C16" i="47"/>
  <c r="E16" i="47"/>
  <c r="G16" i="47"/>
  <c r="I16" i="47"/>
  <c r="K16" i="47"/>
  <c r="C17" i="47"/>
  <c r="E17" i="47"/>
  <c r="G17" i="47"/>
  <c r="I17" i="47"/>
  <c r="K17" i="47"/>
  <c r="C46" i="46"/>
  <c r="C45" i="46"/>
  <c r="C44" i="46"/>
  <c r="C43" i="46"/>
  <c r="C42" i="46"/>
  <c r="C41" i="46"/>
  <c r="C40" i="46"/>
  <c r="C39" i="46"/>
  <c r="C38" i="46"/>
  <c r="C37" i="46"/>
  <c r="C36" i="46"/>
  <c r="C35" i="46"/>
  <c r="C34" i="46"/>
  <c r="C33" i="46"/>
  <c r="C32" i="46"/>
  <c r="C31" i="46"/>
  <c r="C30" i="46"/>
  <c r="C29" i="46"/>
  <c r="C28" i="46"/>
  <c r="C27" i="46"/>
  <c r="C26" i="46"/>
  <c r="C25" i="46"/>
  <c r="E46" i="46"/>
  <c r="E45" i="46"/>
  <c r="E44" i="46"/>
  <c r="E43" i="46"/>
  <c r="E42" i="46"/>
  <c r="E41" i="46"/>
  <c r="E40" i="46"/>
  <c r="E39" i="46"/>
  <c r="E38" i="46"/>
  <c r="E37" i="46"/>
  <c r="E36" i="46"/>
  <c r="E35" i="46"/>
  <c r="E34" i="46"/>
  <c r="E33" i="46"/>
  <c r="E32" i="46"/>
  <c r="E31" i="46"/>
  <c r="E30" i="46"/>
  <c r="E29" i="46"/>
  <c r="E28" i="46"/>
  <c r="E27" i="46"/>
  <c r="E26" i="46"/>
  <c r="E25" i="46"/>
  <c r="G46" i="46"/>
  <c r="G45" i="46"/>
  <c r="G44" i="46"/>
  <c r="G43" i="46"/>
  <c r="G42" i="46"/>
  <c r="G41" i="46"/>
  <c r="G40" i="46"/>
  <c r="G39" i="46"/>
  <c r="G38" i="46"/>
  <c r="G37" i="46"/>
  <c r="G36" i="46"/>
  <c r="G35" i="46"/>
  <c r="G34" i="46"/>
  <c r="G33" i="46"/>
  <c r="G32" i="46"/>
  <c r="G31" i="46"/>
  <c r="G30" i="46"/>
  <c r="G29" i="46"/>
  <c r="G28" i="46"/>
  <c r="G27" i="46"/>
  <c r="G26" i="46"/>
  <c r="G25" i="46"/>
  <c r="I46" i="46"/>
  <c r="I45" i="46"/>
  <c r="I44" i="46"/>
  <c r="I43" i="46"/>
  <c r="I42" i="46"/>
  <c r="I41" i="46"/>
  <c r="I40" i="46"/>
  <c r="I39" i="46"/>
  <c r="I38" i="46"/>
  <c r="I37" i="46"/>
  <c r="I36" i="46"/>
  <c r="I35" i="46"/>
  <c r="I34" i="46"/>
  <c r="I33" i="46"/>
  <c r="I32" i="46"/>
  <c r="I31" i="46"/>
  <c r="I30" i="46"/>
  <c r="I29" i="46"/>
  <c r="I28" i="46"/>
  <c r="I27" i="46"/>
  <c r="I26" i="46"/>
  <c r="I25" i="46"/>
  <c r="I24" i="46"/>
  <c r="K46" i="46"/>
  <c r="K45" i="46"/>
  <c r="K44" i="46"/>
  <c r="K43" i="46"/>
  <c r="K42" i="46"/>
  <c r="K41" i="46"/>
  <c r="K40" i="46"/>
  <c r="K39" i="46"/>
  <c r="K38" i="46"/>
  <c r="K37" i="46"/>
  <c r="K36" i="46"/>
  <c r="K35" i="46"/>
  <c r="K34" i="46"/>
  <c r="K33" i="46"/>
  <c r="K32" i="46"/>
  <c r="K31" i="46"/>
  <c r="K30" i="46"/>
  <c r="K29" i="46"/>
  <c r="K28" i="46"/>
  <c r="K27" i="46"/>
  <c r="K26" i="46"/>
  <c r="K25" i="46"/>
  <c r="K24" i="46"/>
  <c r="E10" i="46"/>
  <c r="I10" i="46"/>
  <c r="C11" i="46"/>
  <c r="G11" i="46"/>
  <c r="K11" i="46"/>
  <c r="E12" i="46"/>
  <c r="I12" i="46"/>
  <c r="C13" i="46"/>
  <c r="G13" i="46"/>
  <c r="K13" i="46"/>
  <c r="E14" i="46"/>
  <c r="I14" i="46"/>
  <c r="C15" i="46"/>
  <c r="G15" i="46"/>
  <c r="K15" i="46"/>
  <c r="E16" i="46"/>
  <c r="I16" i="46"/>
  <c r="C17" i="46"/>
  <c r="G17" i="46"/>
  <c r="K17" i="46"/>
  <c r="E18" i="46"/>
  <c r="I18" i="46"/>
  <c r="C19" i="46"/>
  <c r="G19" i="46"/>
  <c r="K19" i="46"/>
  <c r="E20" i="46"/>
  <c r="I20" i="46"/>
  <c r="C21" i="46"/>
  <c r="G21" i="46"/>
  <c r="K21" i="46"/>
  <c r="E22" i="46"/>
  <c r="I22" i="46"/>
  <c r="C23" i="46"/>
  <c r="G23" i="46"/>
  <c r="K23" i="46"/>
  <c r="E24" i="46"/>
  <c r="C10" i="46"/>
  <c r="G10" i="46"/>
  <c r="K10" i="46"/>
  <c r="E11" i="46"/>
  <c r="I11" i="46"/>
  <c r="C12" i="46"/>
  <c r="G12" i="46"/>
  <c r="K12" i="46"/>
  <c r="E13" i="46"/>
  <c r="I13" i="46"/>
  <c r="C14" i="46"/>
  <c r="G14" i="46"/>
  <c r="K14" i="46"/>
  <c r="E15" i="46"/>
  <c r="I15" i="46"/>
  <c r="C16" i="46"/>
  <c r="G16" i="46"/>
  <c r="K16" i="46"/>
  <c r="E17" i="46"/>
  <c r="I17" i="46"/>
  <c r="C18" i="46"/>
  <c r="G18" i="46"/>
  <c r="K18" i="46"/>
  <c r="E19" i="46"/>
  <c r="I19" i="46"/>
  <c r="C20" i="46"/>
  <c r="G20" i="46"/>
  <c r="K20" i="46"/>
  <c r="E21" i="46"/>
  <c r="I21" i="46"/>
  <c r="C22" i="46"/>
  <c r="G22" i="46"/>
  <c r="K22" i="46"/>
  <c r="E23" i="46"/>
  <c r="I23" i="46"/>
  <c r="C24" i="46"/>
  <c r="G24" i="46"/>
  <c r="A10" i="46"/>
  <c r="D10" i="46"/>
  <c r="F10" i="46"/>
  <c r="H10" i="46"/>
  <c r="J10" i="46"/>
  <c r="A11" i="46"/>
  <c r="D11" i="46"/>
  <c r="F11" i="46"/>
  <c r="H11" i="46"/>
  <c r="J11" i="46"/>
  <c r="A12" i="46"/>
  <c r="D12" i="46"/>
  <c r="F12" i="46"/>
  <c r="H12" i="46"/>
  <c r="J12" i="46"/>
  <c r="A13" i="46"/>
  <c r="D13" i="46"/>
  <c r="F13" i="46"/>
  <c r="H13" i="46"/>
  <c r="J13" i="46"/>
  <c r="A14" i="46"/>
  <c r="D14" i="46"/>
  <c r="F14" i="46"/>
  <c r="H14" i="46"/>
  <c r="J14" i="46"/>
  <c r="A15" i="46"/>
  <c r="D15" i="46"/>
  <c r="F15" i="46"/>
  <c r="H15" i="46"/>
  <c r="J15" i="46"/>
  <c r="A16" i="46"/>
  <c r="D16" i="46"/>
  <c r="F16" i="46"/>
  <c r="H16" i="46"/>
  <c r="J16" i="46"/>
  <c r="A17" i="46"/>
  <c r="D17" i="46"/>
  <c r="F17" i="46"/>
  <c r="H17" i="46"/>
  <c r="J17" i="46"/>
  <c r="A18" i="46"/>
  <c r="D18" i="46"/>
  <c r="F18" i="46"/>
  <c r="H18" i="46"/>
  <c r="J18" i="46"/>
  <c r="A19" i="46"/>
  <c r="D19" i="46"/>
  <c r="F19" i="46"/>
  <c r="H19" i="46"/>
  <c r="J19" i="46"/>
  <c r="A20" i="46"/>
  <c r="D20" i="46"/>
  <c r="F20" i="46"/>
  <c r="H20" i="46"/>
  <c r="J20" i="46"/>
  <c r="A21" i="46"/>
  <c r="D21" i="46"/>
  <c r="F21" i="46"/>
  <c r="H21" i="46"/>
  <c r="J21" i="46"/>
  <c r="A22" i="46"/>
  <c r="D22" i="46"/>
  <c r="F22" i="46"/>
  <c r="H22" i="46"/>
  <c r="J22" i="46"/>
  <c r="A23" i="46"/>
  <c r="D23" i="46"/>
  <c r="F23" i="46"/>
  <c r="H23" i="46"/>
  <c r="J23" i="46"/>
  <c r="A24" i="46"/>
  <c r="D24" i="46"/>
  <c r="F24" i="46"/>
  <c r="H24" i="46"/>
  <c r="J24" i="46"/>
  <c r="A25" i="46"/>
  <c r="D25" i="46"/>
  <c r="F25" i="46"/>
  <c r="H25" i="46"/>
  <c r="J25" i="46"/>
  <c r="A26" i="46"/>
  <c r="D26" i="46"/>
  <c r="F26" i="46"/>
  <c r="H26" i="46"/>
  <c r="J26" i="46"/>
  <c r="A27" i="46"/>
  <c r="D27" i="46"/>
  <c r="F27" i="46"/>
  <c r="H27" i="46"/>
  <c r="J27" i="46"/>
  <c r="A28" i="46"/>
  <c r="D28" i="46"/>
  <c r="F28" i="46"/>
  <c r="H28" i="46"/>
  <c r="J28" i="46"/>
  <c r="A29" i="46"/>
  <c r="D29" i="46"/>
  <c r="F29" i="46"/>
  <c r="H29" i="46"/>
  <c r="J29" i="46"/>
  <c r="A30" i="46"/>
  <c r="F30" i="46"/>
  <c r="J30" i="46"/>
  <c r="D31" i="46"/>
  <c r="H31" i="46"/>
  <c r="A32" i="46"/>
  <c r="F32" i="46"/>
  <c r="J32" i="46"/>
  <c r="D33" i="46"/>
  <c r="H33" i="46"/>
  <c r="A34" i="46"/>
  <c r="F34" i="46"/>
  <c r="J34" i="46"/>
  <c r="D35" i="46"/>
  <c r="H35" i="46"/>
  <c r="A36" i="46"/>
  <c r="F36" i="46"/>
  <c r="J36" i="46"/>
  <c r="D37" i="46"/>
  <c r="H37" i="46"/>
  <c r="A38" i="46"/>
  <c r="F38" i="46"/>
  <c r="J38" i="46"/>
  <c r="D39" i="46"/>
  <c r="H39" i="46"/>
  <c r="A40" i="46"/>
  <c r="F40" i="46"/>
  <c r="J40" i="46"/>
  <c r="D41" i="46"/>
  <c r="H41" i="46"/>
  <c r="A42" i="46"/>
  <c r="F42" i="46"/>
  <c r="J42" i="46"/>
  <c r="D43" i="46"/>
  <c r="H43" i="46"/>
  <c r="A44" i="46"/>
  <c r="F44" i="46"/>
  <c r="J44" i="46"/>
  <c r="C14" i="22"/>
  <c r="C12" i="22"/>
  <c r="J13" i="11" l="1"/>
  <c r="L12" i="11"/>
  <c r="L13" i="11" s="1"/>
  <c r="A13" i="44"/>
  <c r="F30" i="11"/>
  <c r="B18" i="11"/>
  <c r="A17" i="44"/>
  <c r="A19" i="44"/>
  <c r="A23" i="44"/>
  <c r="A21" i="44"/>
  <c r="A11" i="44"/>
  <c r="A9" i="44"/>
  <c r="F31" i="11" l="1"/>
  <c r="F32" i="11" s="1"/>
  <c r="F33" i="11" s="1"/>
  <c r="F18" i="11" l="1"/>
  <c r="H30" i="11"/>
  <c r="H31" i="11" l="1"/>
  <c r="H32" i="11" s="1"/>
  <c r="H33" i="11" s="1"/>
  <c r="J30" i="11" l="1"/>
  <c r="H18" i="11"/>
  <c r="J31" i="11" l="1"/>
  <c r="J32" i="11" s="1"/>
  <c r="J33" i="11" s="1"/>
  <c r="L30" i="11" l="1"/>
  <c r="J18" i="11"/>
  <c r="L31" i="11" l="1"/>
  <c r="L32" i="11" s="1"/>
  <c r="L33" i="11" s="1"/>
  <c r="L18"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Lorn Macilravie</author>
  </authors>
  <commentList>
    <comment ref="K3" authorId="0" shapeId="0" xr:uid="{00000000-0006-0000-0800-000001000000}">
      <text>
        <r>
          <rPr>
            <b/>
            <sz val="9"/>
            <color indexed="81"/>
            <rFont val="Tahoma"/>
            <family val="2"/>
          </rPr>
          <t>Lorn Macilravie:</t>
        </r>
        <r>
          <rPr>
            <sz val="9"/>
            <color indexed="81"/>
            <rFont val="Tahoma"/>
            <family val="2"/>
          </rPr>
          <t xml:space="preserve">
See 110.14(C)(1)(a). Any wire size over 100A in this chart is chosen from the 75C column. Any wire under 100A is chosen from the 60C column.</t>
        </r>
      </text>
    </comment>
    <comment ref="M3" authorId="0" shapeId="0" xr:uid="{00000000-0006-0000-0800-000002000000}">
      <text>
        <r>
          <rPr>
            <b/>
            <sz val="9"/>
            <color indexed="81"/>
            <rFont val="Tahoma"/>
            <family val="2"/>
          </rPr>
          <t>Lorn Macilravie:</t>
        </r>
        <r>
          <rPr>
            <sz val="9"/>
            <color indexed="81"/>
            <rFont val="Tahoma"/>
            <family val="2"/>
          </rPr>
          <t xml:space="preserve">
Equipment ground size is based on the TD Fuse size. See Table 250.122</t>
        </r>
      </text>
    </comment>
    <comment ref="K20" authorId="0" shapeId="0" xr:uid="{00000000-0006-0000-0800-000003000000}">
      <text>
        <r>
          <rPr>
            <b/>
            <sz val="9"/>
            <color indexed="81"/>
            <rFont val="Tahoma"/>
            <family val="2"/>
          </rPr>
          <t>Lorn Macilravie:</t>
        </r>
        <r>
          <rPr>
            <sz val="9"/>
            <color indexed="81"/>
            <rFont val="Tahoma"/>
            <family val="2"/>
          </rPr>
          <t xml:space="preserve">
See 110.14(C)(1)(a). Any wire size over 100A in this chart is chosen from the 75C column.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Lorn Macilravie</author>
  </authors>
  <commentList>
    <comment ref="L3" authorId="0" shapeId="0" xr:uid="{00000000-0006-0000-0900-000001000000}">
      <text>
        <r>
          <rPr>
            <b/>
            <sz val="9"/>
            <color indexed="81"/>
            <rFont val="Tahoma"/>
            <family val="2"/>
          </rPr>
          <t>Lorn Macilravie:</t>
        </r>
        <r>
          <rPr>
            <sz val="9"/>
            <color indexed="81"/>
            <rFont val="Tahoma"/>
            <family val="2"/>
          </rPr>
          <t xml:space="preserve">
See 110.14(C)(1)(a). Any wire size over 100A in this chart is chosen from the 75C column. Any wire under 100A is chosen from the 60C column.</t>
        </r>
      </text>
    </comment>
    <comment ref="N3" authorId="0" shapeId="0" xr:uid="{00000000-0006-0000-0900-000002000000}">
      <text>
        <r>
          <rPr>
            <b/>
            <sz val="9"/>
            <color indexed="81"/>
            <rFont val="Tahoma"/>
            <family val="2"/>
          </rPr>
          <t>Lorn Macilravie:</t>
        </r>
        <r>
          <rPr>
            <sz val="9"/>
            <color indexed="81"/>
            <rFont val="Tahoma"/>
            <family val="2"/>
          </rPr>
          <t xml:space="preserve">
250.122(F)</t>
        </r>
      </text>
    </comment>
    <comment ref="O3" authorId="0" shapeId="0" xr:uid="{00000000-0006-0000-0900-000003000000}">
      <text>
        <r>
          <rPr>
            <b/>
            <sz val="9"/>
            <color indexed="81"/>
            <rFont val="Tahoma"/>
            <family val="2"/>
          </rPr>
          <t>Lorn Macilravie:</t>
        </r>
        <r>
          <rPr>
            <sz val="9"/>
            <color indexed="81"/>
            <rFont val="Tahoma"/>
            <family val="2"/>
          </rPr>
          <t xml:space="preserve">
Based on TD Fuse Size
</t>
        </r>
      </text>
    </comment>
    <comment ref="L8" authorId="0" shapeId="0" xr:uid="{00000000-0006-0000-0900-000004000000}">
      <text>
        <r>
          <rPr>
            <b/>
            <sz val="9"/>
            <color indexed="81"/>
            <rFont val="Tahoma"/>
            <family val="2"/>
          </rPr>
          <t>Lorn Macilravie:</t>
        </r>
        <r>
          <rPr>
            <sz val="9"/>
            <color indexed="81"/>
            <rFont val="Tahoma"/>
            <family val="2"/>
          </rPr>
          <t xml:space="preserve">
240.4(C) </t>
        </r>
      </text>
    </comment>
    <comment ref="L9" authorId="0" shapeId="0" xr:uid="{00000000-0006-0000-0900-000005000000}">
      <text>
        <r>
          <rPr>
            <b/>
            <sz val="9"/>
            <color indexed="81"/>
            <rFont val="Tahoma"/>
            <family val="2"/>
          </rPr>
          <t>Lorn Macilravie:</t>
        </r>
        <r>
          <rPr>
            <sz val="9"/>
            <color indexed="81"/>
            <rFont val="Tahoma"/>
            <family val="2"/>
          </rPr>
          <t xml:space="preserve">
240.4(C)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Lorn Macilravie</author>
  </authors>
  <commentList>
    <comment ref="I4" authorId="0" shapeId="0" xr:uid="{00000000-0006-0000-0A00-000001000000}">
      <text>
        <r>
          <rPr>
            <b/>
            <sz val="9"/>
            <color indexed="81"/>
            <rFont val="Tahoma"/>
            <family val="2"/>
          </rPr>
          <t>Lorn Macilravie:</t>
        </r>
        <r>
          <rPr>
            <sz val="9"/>
            <color indexed="81"/>
            <rFont val="Tahoma"/>
            <family val="2"/>
          </rPr>
          <t xml:space="preserve">
See 110.14(C)(1)</t>
        </r>
      </text>
    </comment>
    <comment ref="I19" authorId="0" shapeId="0" xr:uid="{00000000-0006-0000-0A00-000002000000}">
      <text>
        <r>
          <rPr>
            <b/>
            <sz val="9"/>
            <color indexed="81"/>
            <rFont val="Tahoma"/>
            <family val="2"/>
          </rPr>
          <t>Lorn Macilravie:</t>
        </r>
        <r>
          <rPr>
            <sz val="9"/>
            <color indexed="81"/>
            <rFont val="Tahoma"/>
            <family val="2"/>
          </rPr>
          <t xml:space="preserve">
See 110.14(C)(1)</t>
        </r>
      </text>
    </comment>
    <comment ref="I34" authorId="0" shapeId="0" xr:uid="{00000000-0006-0000-0A00-000003000000}">
      <text>
        <r>
          <rPr>
            <b/>
            <sz val="9"/>
            <color indexed="81"/>
            <rFont val="Tahoma"/>
            <family val="2"/>
          </rPr>
          <t>Lorn Macilravie:</t>
        </r>
        <r>
          <rPr>
            <sz val="9"/>
            <color indexed="81"/>
            <rFont val="Tahoma"/>
            <family val="2"/>
          </rPr>
          <t xml:space="preserve">
See 110.14(C)(1)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Lorn</author>
  </authors>
  <commentList>
    <comment ref="G4" authorId="0" shapeId="0" xr:uid="{00000000-0006-0000-0C00-000001000000}">
      <text>
        <r>
          <rPr>
            <b/>
            <sz val="9"/>
            <color indexed="81"/>
            <rFont val="Tahoma"/>
            <family val="2"/>
          </rPr>
          <t>Lorn:
Based on 310.15(B)(3)(a) and 110.14(C).</t>
        </r>
      </text>
    </comment>
    <comment ref="H4" authorId="0" shapeId="0" xr:uid="{00000000-0006-0000-0C00-000002000000}">
      <text>
        <r>
          <rPr>
            <b/>
            <sz val="9"/>
            <color indexed="81"/>
            <rFont val="Tahoma"/>
            <family val="2"/>
          </rPr>
          <t>Lorn:</t>
        </r>
        <r>
          <rPr>
            <sz val="9"/>
            <color indexed="81"/>
            <rFont val="Tahoma"/>
            <family val="2"/>
          </rPr>
          <t xml:space="preserve">
Choose wire size from the "adjusted" table.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GC-TEC</author>
  </authors>
  <commentList>
    <comment ref="B10" authorId="0" shapeId="0" xr:uid="{00000000-0006-0000-2E00-000001000000}">
      <text>
        <r>
          <rPr>
            <b/>
            <sz val="9"/>
            <color indexed="81"/>
            <rFont val="Tahoma"/>
            <family val="2"/>
          </rPr>
          <t>GC-TEC:</t>
        </r>
        <r>
          <rPr>
            <sz val="9"/>
            <color indexed="81"/>
            <rFont val="Tahoma"/>
            <family val="2"/>
          </rPr>
          <t xml:space="preserve">
38,500 Sq/Ft gives you 120,000 VA</t>
        </r>
      </text>
    </comment>
  </commentList>
</comments>
</file>

<file path=xl/sharedStrings.xml><?xml version="1.0" encoding="utf-8"?>
<sst xmlns="http://schemas.openxmlformats.org/spreadsheetml/2006/main" count="3610" uniqueCount="1363">
  <si>
    <t>Notes:</t>
  </si>
  <si>
    <t xml:space="preserve">These spreadsheets were built for my use. They might not match your uses. </t>
  </si>
  <si>
    <t>Sometimes a calculation is just a calculation.</t>
  </si>
  <si>
    <t>The YELLOW cells are not protected.</t>
  </si>
  <si>
    <t>AWG</t>
  </si>
  <si>
    <t>Cmils</t>
  </si>
  <si>
    <t>POLES</t>
  </si>
  <si>
    <t>STANDARD OC</t>
  </si>
  <si>
    <t>GROUNDING</t>
  </si>
  <si>
    <t>OC Device</t>
  </si>
  <si>
    <t>CU</t>
  </si>
  <si>
    <t>AL</t>
  </si>
  <si>
    <t># WIRES</t>
  </si>
  <si>
    <t>%</t>
  </si>
  <si>
    <t>4-6</t>
  </si>
  <si>
    <t>7-9</t>
  </si>
  <si>
    <t>10-20</t>
  </si>
  <si>
    <t>21-30</t>
  </si>
  <si>
    <t>1/O</t>
  </si>
  <si>
    <t>31-40</t>
  </si>
  <si>
    <t>2/O</t>
  </si>
  <si>
    <t>41 +</t>
  </si>
  <si>
    <t>3/O</t>
  </si>
  <si>
    <t>4/O</t>
  </si>
  <si>
    <t>CALCULATED MINIMUM CMILS BASED ON VOLTAGE DROP</t>
  </si>
  <si>
    <t>Phase</t>
  </si>
  <si>
    <t>Use 1.73 or 2</t>
  </si>
  <si>
    <t>K</t>
  </si>
  <si>
    <t>Use 21.2 for AL, or 12.9 for CU</t>
  </si>
  <si>
    <t>Volts</t>
  </si>
  <si>
    <t>Use the actual voltage at the power drop</t>
  </si>
  <si>
    <t>Voltage Drop</t>
  </si>
  <si>
    <t>%VD</t>
  </si>
  <si>
    <t>HP Ref.</t>
  </si>
  <si>
    <t>Load</t>
  </si>
  <si>
    <t xml:space="preserve"> </t>
  </si>
  <si>
    <t>1.73 X I X L X K / Cmils  = VD 3 Phase</t>
  </si>
  <si>
    <t>2 X I X L X K / Cmils  = VD Single Phase</t>
  </si>
  <si>
    <t>( VD / E ) x 100 = %VD</t>
  </si>
  <si>
    <t>X2</t>
  </si>
  <si>
    <t>X3</t>
  </si>
  <si>
    <t>MAX AMPS</t>
  </si>
  <si>
    <t>CMILS</t>
  </si>
  <si>
    <t>FEET</t>
  </si>
  <si>
    <t>14*</t>
  </si>
  <si>
    <t>12*</t>
  </si>
  <si>
    <t>10*</t>
  </si>
  <si>
    <t>8</t>
  </si>
  <si>
    <t>6</t>
  </si>
  <si>
    <t>4</t>
  </si>
  <si>
    <t>3</t>
  </si>
  <si>
    <t>2</t>
  </si>
  <si>
    <t>1</t>
  </si>
  <si>
    <t>250</t>
  </si>
  <si>
    <t>300</t>
  </si>
  <si>
    <t>350</t>
  </si>
  <si>
    <t>400</t>
  </si>
  <si>
    <t>500</t>
  </si>
  <si>
    <t>600</t>
  </si>
  <si>
    <t>700</t>
  </si>
  <si>
    <t>750</t>
  </si>
  <si>
    <t>Voltage Drop Calculator</t>
  </si>
  <si>
    <t>Amperes</t>
  </si>
  <si>
    <t>Distance (Feet)</t>
  </si>
  <si>
    <t>Percent Voltage Drop, CU, 3 Phase</t>
  </si>
  <si>
    <t>Volts Dropped, CU, 3 Phase</t>
  </si>
  <si>
    <t>Volts  (Out)</t>
  </si>
  <si>
    <t>Percent Voltage Drop, AL, 3 Phase</t>
  </si>
  <si>
    <t>Volts Dropped, AL,  3 Phase</t>
  </si>
  <si>
    <t>Percent Voltage Drop, CU, Single Phase</t>
  </si>
  <si>
    <t>Volts Dropped, CU, Single Phase</t>
  </si>
  <si>
    <t>Percent Voltage Drop, AL, Single Phase</t>
  </si>
  <si>
    <t>Volts Dropped, AL, Single Phase</t>
  </si>
  <si>
    <t>Percent VD for 3 Phase Cables at 0.85 PF at 75C</t>
  </si>
  <si>
    <t>Amps</t>
  </si>
  <si>
    <t>Use actual load</t>
  </si>
  <si>
    <t>Z</t>
  </si>
  <si>
    <t>#1</t>
  </si>
  <si>
    <t>Overload Calculation</t>
  </si>
  <si>
    <t>NP AMPS</t>
  </si>
  <si>
    <t>OL 140%</t>
  </si>
  <si>
    <t>140% NPA</t>
  </si>
  <si>
    <t>OL 130%</t>
  </si>
  <si>
    <t>130% NPA</t>
  </si>
  <si>
    <t>SF 1.15 &amp; 40°C</t>
  </si>
  <si>
    <t>125% NPA</t>
  </si>
  <si>
    <t>All other motors</t>
  </si>
  <si>
    <t>115% NPA</t>
  </si>
  <si>
    <t>UC 90%</t>
  </si>
  <si>
    <t>90% NPA</t>
  </si>
  <si>
    <t>UC 85%</t>
  </si>
  <si>
    <t>85% NPA</t>
  </si>
  <si>
    <t>Fuse and Breaker Selection</t>
  </si>
  <si>
    <t>NEC AMPS</t>
  </si>
  <si>
    <t>Min. Feeder Amps</t>
  </si>
  <si>
    <t>AC 3Ø</t>
  </si>
  <si>
    <t>Synchronous</t>
  </si>
  <si>
    <t>Non-time delay</t>
  </si>
  <si>
    <t>Dual Element</t>
  </si>
  <si>
    <t>Instant Trip CB</t>
  </si>
  <si>
    <t>IT Breaker</t>
  </si>
  <si>
    <t>Design E</t>
  </si>
  <si>
    <t>Wound Rotor</t>
  </si>
  <si>
    <t>AC 1Ø</t>
  </si>
  <si>
    <t>Direct Current</t>
  </si>
  <si>
    <t>ELECTRICAL CALCULATIONS</t>
  </si>
  <si>
    <t>E (Volts)</t>
  </si>
  <si>
    <t>Amperes =</t>
  </si>
  <si>
    <t>HP X 746</t>
  </si>
  <si>
    <t>=</t>
  </si>
  <si>
    <t>E X % EFF X PF X (1.73 or 1)</t>
  </si>
  <si>
    <t>PF (Power Factor)</t>
  </si>
  <si>
    <t>% EFF (Efficiency)</t>
  </si>
  <si>
    <t>kW X 1000</t>
  </si>
  <si>
    <t>HP (Horsepower)</t>
  </si>
  <si>
    <t>E X PF X (1.73 or 1)</t>
  </si>
  <si>
    <t>KW (Kilowatts)</t>
  </si>
  <si>
    <t>KVA ( Kilo-volt Amperes)</t>
  </si>
  <si>
    <t>kVA X 1000</t>
  </si>
  <si>
    <t>E X (1.73 or 1)</t>
  </si>
  <si>
    <t>I (Amperes)</t>
  </si>
  <si>
    <t>1.73 or 1</t>
  </si>
  <si>
    <t>(Use 1.73 for 3 Phase and 1 for Single Phase)</t>
  </si>
  <si>
    <t>KW =</t>
  </si>
  <si>
    <t>E X I X PF X (1.73 or 1)</t>
  </si>
  <si>
    <t>Kilowatts</t>
  </si>
  <si>
    <t>KVA =</t>
  </si>
  <si>
    <t>E x I x (1.73 or 1)</t>
  </si>
  <si>
    <t>kVA</t>
  </si>
  <si>
    <t>HP =</t>
  </si>
  <si>
    <t>E x I x %EFF x PF x (1.73 or 1)</t>
  </si>
  <si>
    <t>Horsepower</t>
  </si>
  <si>
    <t>Ohms Law Calculator</t>
  </si>
  <si>
    <t xml:space="preserve"> E (Volts)</t>
  </si>
  <si>
    <t>Place your values in these boxes. These values are plugged into the formulas below and automatically calculated.</t>
  </si>
  <si>
    <t xml:space="preserve"> R (Ohms)</t>
  </si>
  <si>
    <t xml:space="preserve"> I (Amps)</t>
  </si>
  <si>
    <t xml:space="preserve"> P (Watts)</t>
  </si>
  <si>
    <t>Amps =</t>
  </si>
  <si>
    <t>√ (Watts / Ohms)</t>
  </si>
  <si>
    <t>Volts =</t>
  </si>
  <si>
    <t>√ (Watts x Ohms)</t>
  </si>
  <si>
    <t>Watts</t>
  </si>
  <si>
    <t>Amps x Ohms</t>
  </si>
  <si>
    <t>Ohms</t>
  </si>
  <si>
    <t>Watts =</t>
  </si>
  <si>
    <t>Ohms =</t>
  </si>
  <si>
    <t>Volts x Amps</t>
  </si>
  <si>
    <t>Quick Three Phase Short Circuit Calculator</t>
  </si>
  <si>
    <t>Transformer Full Load Amps (FLA)</t>
  </si>
  <si>
    <t>Available Amps Short Circuit, I s.c.</t>
  </si>
  <si>
    <t>"M" Multiplier = 100 / % Z</t>
  </si>
  <si>
    <t>Transformer let thru Short Circuit current = Transformer FLA X M</t>
  </si>
  <si>
    <t>Three Phase Voltage Drop and Short Circuit Calculator</t>
  </si>
  <si>
    <t>Transformer</t>
  </si>
  <si>
    <t>Power Drop</t>
  </si>
  <si>
    <t>K= 12.9 CU or 21.2 AL</t>
  </si>
  <si>
    <t>Length</t>
  </si>
  <si>
    <t>Cmils Segment 1</t>
  </si>
  <si>
    <t>Cmils Segment 2</t>
  </si>
  <si>
    <t>Cmils Segment 3</t>
  </si>
  <si>
    <t>Cmils Segment 4</t>
  </si>
  <si>
    <t>13.0040740740733</t>
  </si>
  <si>
    <t>Length Segment 1</t>
  </si>
  <si>
    <t>Length Segment 2</t>
  </si>
  <si>
    <t>Length Segment 3</t>
  </si>
  <si>
    <t>Length Segment 4</t>
  </si>
  <si>
    <t>11.0040740740733</t>
  </si>
  <si>
    <t>L-L Volts</t>
  </si>
  <si>
    <t>Motor Amps Panel 1</t>
  </si>
  <si>
    <t>Motor Amps Panel 2</t>
  </si>
  <si>
    <t>Motor Amps Panel 3</t>
  </si>
  <si>
    <t>Motor Amps Panel 4</t>
  </si>
  <si>
    <t>9.00407407407329</t>
  </si>
  <si>
    <t>Resistive Amps Panel 1</t>
  </si>
  <si>
    <t>Resistive Amps Panel 2</t>
  </si>
  <si>
    <t>Resistive Amps Panel 3</t>
  </si>
  <si>
    <t>Resistive Amps Panel 4</t>
  </si>
  <si>
    <t>Total Amps Segment 1</t>
  </si>
  <si>
    <t>Total Amps Segment 2</t>
  </si>
  <si>
    <t>Total Amps Segment 3</t>
  </si>
  <si>
    <t>Total Amps Segment 4</t>
  </si>
  <si>
    <t>7.00407407407329</t>
  </si>
  <si>
    <t>Voltage at Panel 1</t>
  </si>
  <si>
    <t>Voltage at Panel 2</t>
  </si>
  <si>
    <t>Voltage at Panel 3</t>
  </si>
  <si>
    <t>Voltage at Panel 4</t>
  </si>
  <si>
    <t>5.00407407407329</t>
  </si>
  <si>
    <t>% Z</t>
  </si>
  <si>
    <t>% Voltage Drop from PCC</t>
  </si>
  <si>
    <t>3.00407407407329</t>
  </si>
  <si>
    <t>Point of Common Coupling (PCC)</t>
  </si>
  <si>
    <t>Segment 1</t>
  </si>
  <si>
    <t>Segment 2</t>
  </si>
  <si>
    <t>Segment 3</t>
  </si>
  <si>
    <t>segment 4</t>
  </si>
  <si>
    <t>PANEL 1</t>
  </si>
  <si>
    <t>PANEL 2</t>
  </si>
  <si>
    <t>PANEL 3</t>
  </si>
  <si>
    <t>PANEL 4</t>
  </si>
  <si>
    <t>1/0</t>
  </si>
  <si>
    <t>2/0</t>
  </si>
  <si>
    <t>Total I s.c. sym RMS</t>
  </si>
  <si>
    <t>3/0</t>
  </si>
  <si>
    <t>4/0</t>
  </si>
  <si>
    <t>"C" Value</t>
  </si>
  <si>
    <t>Conductors per phase</t>
  </si>
  <si>
    <t>CALCULATION REFERENCE AREA</t>
  </si>
  <si>
    <t>3 Phase</t>
  </si>
  <si>
    <t>FLA</t>
  </si>
  <si>
    <t>Multiplier</t>
  </si>
  <si>
    <t>I s.c. at Transformer</t>
  </si>
  <si>
    <t>Available I s.c.</t>
  </si>
  <si>
    <t>"f"</t>
  </si>
  <si>
    <t>M</t>
  </si>
  <si>
    <t>I s.c. sym RMS</t>
  </si>
  <si>
    <t>Total  Motor Amps</t>
  </si>
  <si>
    <t>I s.c Motor Contribution</t>
  </si>
  <si>
    <t>This calculator is based on the information in Ugly's Electrical References.</t>
  </si>
  <si>
    <t>You can find information on the wire sizes and the "C" value in the Ugly's Electrical References, or in publications from Cooper Bussmann.</t>
  </si>
  <si>
    <t>POWER DROP TO WELL CALCULATION</t>
  </si>
  <si>
    <t>CALC.</t>
  </si>
  <si>
    <t>ACTUAL</t>
  </si>
  <si>
    <t>CALC. WELL</t>
  </si>
  <si>
    <t>TO</t>
  </si>
  <si>
    <t>SOURCE</t>
  </si>
  <si>
    <t>LENGTH</t>
  </si>
  <si>
    <t>1.732 or 2</t>
  </si>
  <si>
    <t>21.2 OR 12.9</t>
  </si>
  <si>
    <t>AMPS</t>
  </si>
  <si>
    <t>PD VOLTS</t>
  </si>
  <si>
    <t>MAX %VD</t>
  </si>
  <si>
    <t>VD</t>
  </si>
  <si>
    <t>Wire Size</t>
  </si>
  <si>
    <t>HEAD VOLTS</t>
  </si>
  <si>
    <t>WELL 1</t>
  </si>
  <si>
    <t>PD1</t>
  </si>
  <si>
    <t>2 x 250</t>
  </si>
  <si>
    <t>WELL 2</t>
  </si>
  <si>
    <t>WELL 3</t>
  </si>
  <si>
    <t>WELL 4</t>
  </si>
  <si>
    <t>PD2</t>
  </si>
  <si>
    <t>WELL 5</t>
  </si>
  <si>
    <t>PD3</t>
  </si>
  <si>
    <t>SURFACE TO PUMP CALCULATION</t>
  </si>
  <si>
    <t>DOWN HOLE</t>
  </si>
  <si>
    <t>MAX DROP</t>
  </si>
  <si>
    <t>DH WIRE</t>
  </si>
  <si>
    <t>DH VOLTS</t>
  </si>
  <si>
    <t>T. %VD</t>
  </si>
  <si>
    <t>3 Phase, 460</t>
  </si>
  <si>
    <t>1 Phase, 230</t>
  </si>
  <si>
    <t>HP</t>
  </si>
  <si>
    <t>-10%</t>
  </si>
  <si>
    <t>-5 %</t>
  </si>
  <si>
    <t>+5 %</t>
  </si>
  <si>
    <t>+10 %</t>
  </si>
  <si>
    <t>110</t>
  </si>
  <si>
    <t>120</t>
  </si>
  <si>
    <t>230</t>
  </si>
  <si>
    <t>240</t>
  </si>
  <si>
    <t>460</t>
  </si>
  <si>
    <t>480</t>
  </si>
  <si>
    <t>MAX CAPACITOR SIZES FOR 3 PHASE, 60HZ, MOTORS</t>
  </si>
  <si>
    <t>3600 RPM</t>
  </si>
  <si>
    <t>1800 RPM</t>
  </si>
  <si>
    <t>1200 RPM</t>
  </si>
  <si>
    <t>900 RPM</t>
  </si>
  <si>
    <t>720 RPM</t>
  </si>
  <si>
    <t>600 RPM</t>
  </si>
  <si>
    <t>Motor Rating HP</t>
  </si>
  <si>
    <t>Maximum Capacitor Rating KVAR</t>
  </si>
  <si>
    <t>Reduction In Line Current %</t>
  </si>
  <si>
    <t>POWER FACTOR CORRECTION</t>
  </si>
  <si>
    <t>Based on Table in Ugly's Electrical Reference, 2011 Edition, Page 27</t>
  </si>
  <si>
    <t>KW</t>
  </si>
  <si>
    <t>Existing PF</t>
  </si>
  <si>
    <t>Corrected Power Factor</t>
  </si>
  <si>
    <t>DISTANCE BETWEEN BENDS</t>
  </si>
  <si>
    <t>COSECANT</t>
  </si>
  <si>
    <t>ANGLE</t>
  </si>
  <si>
    <t>DEGREES</t>
  </si>
  <si>
    <t>ONE SHOTS</t>
  </si>
  <si>
    <t>ONE SHOT</t>
  </si>
  <si>
    <t>TAKE UP</t>
  </si>
  <si>
    <t>SHRINK</t>
  </si>
  <si>
    <t>1/2</t>
  </si>
  <si>
    <t>3/16</t>
  </si>
  <si>
    <t>3/4</t>
  </si>
  <si>
    <t>1/4</t>
  </si>
  <si>
    <t>3/8</t>
  </si>
  <si>
    <t>1 1/4</t>
  </si>
  <si>
    <t>SADDLES</t>
  </si>
  <si>
    <t>DEPTH</t>
  </si>
  <si>
    <t>ADD</t>
  </si>
  <si>
    <t>DISTANCE</t>
  </si>
  <si>
    <t>9/16</t>
  </si>
  <si>
    <t>15/16</t>
  </si>
  <si>
    <t>1-1/8</t>
  </si>
  <si>
    <t>Franklin Electric HP</t>
  </si>
  <si>
    <t>7 1/2</t>
  </si>
  <si>
    <t>4"</t>
  </si>
  <si>
    <t>6"</t>
  </si>
  <si>
    <t>Franklin Full Load Amps</t>
  </si>
  <si>
    <t>Franklin Service Factor Amps</t>
  </si>
  <si>
    <t>SFA</t>
  </si>
  <si>
    <t>Low Voltage</t>
  </si>
  <si>
    <t>LV</t>
  </si>
  <si>
    <t>High Voltage</t>
  </si>
  <si>
    <t>HV</t>
  </si>
  <si>
    <t>Voltage Unbalance</t>
  </si>
  <si>
    <t>VUB</t>
  </si>
  <si>
    <t>Loops "Multiplier"</t>
  </si>
  <si>
    <t>MULT</t>
  </si>
  <si>
    <t>OC 115% RECOMMENDED</t>
  </si>
  <si>
    <t>OC</t>
  </si>
  <si>
    <t>UC</t>
  </si>
  <si>
    <t>Current Unbalance</t>
  </si>
  <si>
    <t>CUB</t>
  </si>
  <si>
    <t>Trip Class</t>
  </si>
  <si>
    <t>TC</t>
  </si>
  <si>
    <t>Rapid Cycle Timer</t>
  </si>
  <si>
    <t>RD1</t>
  </si>
  <si>
    <t>Fault Restart Delay</t>
  </si>
  <si>
    <t>RD2</t>
  </si>
  <si>
    <t>UC Restart Delay Timer</t>
  </si>
  <si>
    <t>RD3</t>
  </si>
  <si>
    <t># of Automatic Restarts</t>
  </si>
  <si>
    <t>#RU</t>
  </si>
  <si>
    <t>A</t>
  </si>
  <si>
    <t>Address</t>
  </si>
  <si>
    <t>ADDR</t>
  </si>
  <si>
    <t>A01</t>
  </si>
  <si>
    <t># of Restarts after Faults</t>
  </si>
  <si>
    <t>#RF</t>
  </si>
  <si>
    <t>oc4</t>
  </si>
  <si>
    <t>UC Trip Delay</t>
  </si>
  <si>
    <t>UCTD</t>
  </si>
  <si>
    <t>Ground Fault 10%</t>
  </si>
  <si>
    <t>GF</t>
  </si>
  <si>
    <t># of conductors thru A, B, C</t>
  </si>
  <si>
    <t>Maximum NEC OC Settings</t>
  </si>
  <si>
    <t>125%</t>
  </si>
  <si>
    <t>Min. Wire Size @ 75C</t>
  </si>
  <si>
    <t>PSI, API, SG Calculator</t>
  </si>
  <si>
    <t>p = 0.434 * h * SG</t>
  </si>
  <si>
    <t>p</t>
  </si>
  <si>
    <t>PSI</t>
  </si>
  <si>
    <t>h</t>
  </si>
  <si>
    <t>Head in Feet</t>
  </si>
  <si>
    <t>SG</t>
  </si>
  <si>
    <t>Specific Gravity</t>
  </si>
  <si>
    <t>h = (p * 2.31) / SG</t>
  </si>
  <si>
    <t>API gravity = (141.5/SG at 60°F) - 131.5</t>
  </si>
  <si>
    <t>Light</t>
  </si>
  <si>
    <t>22-30</t>
  </si>
  <si>
    <t>Medium</t>
  </si>
  <si>
    <t>API</t>
  </si>
  <si>
    <t>&lt;22</t>
  </si>
  <si>
    <t>Heavy</t>
  </si>
  <si>
    <t>&lt;10</t>
  </si>
  <si>
    <t>Extra Heavy</t>
  </si>
  <si>
    <t>Fresh Water</t>
  </si>
  <si>
    <t>Asphalt</t>
  </si>
  <si>
    <t>Positive Displacement Pump Calculation</t>
  </si>
  <si>
    <t>Pistons (Use "1" for Rod Pumps) (Use "3" for a Triplex)</t>
  </si>
  <si>
    <t>RPM, or SPM</t>
  </si>
  <si>
    <t>Radius (Bore/2)</t>
  </si>
  <si>
    <t>Pi</t>
  </si>
  <si>
    <t>Sq. Inches of Circle (Radius x Radius x Pi)</t>
  </si>
  <si>
    <t>Cubic Inches Per Stroke (Stroke Length x Sq. Inches of Circle)</t>
  </si>
  <si>
    <t>Cubic Inches Per Revolution (Cubic Inches Per Stroke x No. of Pistons)</t>
  </si>
  <si>
    <t>Gallons per Revolution (Cubic Inches Per Revolution /231)</t>
  </si>
  <si>
    <t>U.S. Gallons per Minute</t>
  </si>
  <si>
    <t>U.S. Gallons per Day</t>
  </si>
  <si>
    <t>BPD at 100% Eff.</t>
  </si>
  <si>
    <t>Efficiency</t>
  </si>
  <si>
    <t>BPD x Eff.</t>
  </si>
  <si>
    <t>API Rod Pump Flow Calculation</t>
  </si>
  <si>
    <t>BPD = (Bore Dia. X Bore Dia.) X 0.1166 X Stroke Length X SPM</t>
  </si>
  <si>
    <t>VOLTS</t>
  </si>
  <si>
    <t>TRANSDUCERS</t>
  </si>
  <si>
    <t>MAX DEPTH</t>
  </si>
  <si>
    <t>mA</t>
  </si>
  <si>
    <t>RANGE</t>
  </si>
  <si>
    <t>PSI/mA</t>
  </si>
  <si>
    <t>PSI BOTTOM</t>
  </si>
  <si>
    <t>PSI TOP</t>
  </si>
  <si>
    <t>X</t>
  </si>
  <si>
    <t>FEET OF WATER</t>
  </si>
  <si>
    <t>Date in the past</t>
  </si>
  <si>
    <t>More recent date</t>
  </si>
  <si>
    <t>Difference</t>
  </si>
  <si>
    <t>Today</t>
  </si>
  <si>
    <t>Add Days</t>
  </si>
  <si>
    <t>Add Weeks</t>
  </si>
  <si>
    <t>Add Months</t>
  </si>
  <si>
    <t>P1</t>
  </si>
  <si>
    <t>PSIA = PSIG + AVERAGE ATMOSPHERIC PRESSURE. Ex. AT 4500' ABOVE SEA LEVEL, USE (PSIG + 12.5 = PSIA)</t>
  </si>
  <si>
    <t>V1</t>
  </si>
  <si>
    <t>UNITLESS VOLUME</t>
  </si>
  <si>
    <t>T1</t>
  </si>
  <si>
    <t>ABSOLUTE TEMP = TEMP F + 460. Ex. 80F + 460 = 540 ABSOLUTE</t>
  </si>
  <si>
    <t>P2</t>
  </si>
  <si>
    <t>STANDARD PRESSURE IS 14.73 PSIA</t>
  </si>
  <si>
    <t>V2</t>
  </si>
  <si>
    <t>T2</t>
  </si>
  <si>
    <t>STANDARD TEMPERATURE  IS 520. Ex 520=460+60F</t>
  </si>
  <si>
    <t>(P1)(V1)</t>
  </si>
  <si>
    <t>(P2)(V2)</t>
  </si>
  <si>
    <t>(T1)</t>
  </si>
  <si>
    <t>(T2)</t>
  </si>
  <si>
    <t>Optimal Solar Panel Tilt</t>
  </si>
  <si>
    <t>Latitude x 0.9 + 29° = Desired Tilt</t>
  </si>
  <si>
    <t>Latitude</t>
  </si>
  <si>
    <t>Desired Tilt</t>
  </si>
  <si>
    <t>TURBINE METER</t>
  </si>
  <si>
    <t>K FACTOR</t>
  </si>
  <si>
    <t>ACTUAL READING</t>
  </si>
  <si>
    <t>GPM</t>
  </si>
  <si>
    <t>BBLS/D</t>
  </si>
  <si>
    <t>BUCKET TEST</t>
  </si>
  <si>
    <t>SECONDS TO FILL 5 GAL BUCKET</t>
  </si>
  <si>
    <t>WATER LEVEL</t>
  </si>
  <si>
    <t>DOWN HOLE PSIG</t>
  </si>
  <si>
    <t>CASING PSIG</t>
  </si>
  <si>
    <t>FEET OF FRESH WATER (PSI/0.433)</t>
  </si>
  <si>
    <t>FEET OF PRODUCED WATER (PSI/0.44)</t>
  </si>
  <si>
    <t>DIFFERENTIAL TRANSDUCERS</t>
  </si>
  <si>
    <t>TOP HOLE TRANSDUCER RANGE</t>
  </si>
  <si>
    <t>BOTTOM HOLE TRANSDUCER RANGE</t>
  </si>
  <si>
    <t>TOP HOLE TRANSDUCER mA</t>
  </si>
  <si>
    <t>BOTTOM HOLE TRANSDUCER mA READING</t>
  </si>
  <si>
    <t>TOP HOLE PSIG</t>
  </si>
  <si>
    <t>BOTTOM HOLE PSIG</t>
  </si>
  <si>
    <t>SIGNAL SCALING</t>
  </si>
  <si>
    <t>HIGH SCALE</t>
  </si>
  <si>
    <t>LOW SCALE</t>
  </si>
  <si>
    <t>HIGH SIGNAL</t>
  </si>
  <si>
    <t>LOW SIGNAL</t>
  </si>
  <si>
    <t>CURRENT SIGNAL VALUE</t>
  </si>
  <si>
    <t>CURRENT SCALED VALUE</t>
  </si>
  <si>
    <t xml:space="preserve">INCHES </t>
  </si>
  <si>
    <t>DECIMAL</t>
  </si>
  <si>
    <t>TANK VOLUME CALCULATIONS</t>
  </si>
  <si>
    <t>HIGHT OF TANK (FT.)</t>
  </si>
  <si>
    <t>DIAMETER OF TANK (FT.)</t>
  </si>
  <si>
    <t>TOTAL VOLUME IN CUBIC FEET</t>
  </si>
  <si>
    <t>TOTAL VOLUME IN GALLONS</t>
  </si>
  <si>
    <t xml:space="preserve">TOTAL VOLUME IN BBLS  </t>
  </si>
  <si>
    <t>FEET OF WATER IN THE TANK</t>
  </si>
  <si>
    <t>GALLONS IN THE TANK</t>
  </si>
  <si>
    <t>BBLS IN THE TANK</t>
  </si>
  <si>
    <t>TANK RATE CALCULATION</t>
  </si>
  <si>
    <t>FIRST GAUGE (FT.)</t>
  </si>
  <si>
    <t>SECOND GAUGE (FT.)</t>
  </si>
  <si>
    <t>MINUTES BETWEEN GAUGE TIMES</t>
  </si>
  <si>
    <t>TANK VOLUME (BBLS PER FOOT)</t>
  </si>
  <si>
    <t>VOLUME AT FIRST GAUGING</t>
  </si>
  <si>
    <t>VOLUME AT SECOND GAUGING</t>
  </si>
  <si>
    <t>BBLS/MINUTE</t>
  </si>
  <si>
    <t>GALLONS/MINUTE</t>
  </si>
  <si>
    <t xml:space="preserve">Specific 
Gravity </t>
  </si>
  <si>
    <t xml:space="preserve">Wght. 
per Gal. </t>
  </si>
  <si>
    <t>Maximum Horsepower - Polyphase Motors</t>
  </si>
  <si>
    <t>NEMA</t>
  </si>
  <si>
    <t>Full Voltage Starting</t>
  </si>
  <si>
    <t>Auto Transformer Starting</t>
  </si>
  <si>
    <t>Part Winding Starting</t>
  </si>
  <si>
    <t>Wye Delta Starting</t>
  </si>
  <si>
    <t>Size</t>
  </si>
  <si>
    <t>200V</t>
  </si>
  <si>
    <t>230V</t>
  </si>
  <si>
    <t>460V 575V</t>
  </si>
  <si>
    <t>1 ½</t>
  </si>
  <si>
    <t>--</t>
  </si>
  <si>
    <t>7 ½</t>
  </si>
  <si>
    <t>460 VOLT – THREE PHASE - MOTOR CALCULATIONS</t>
  </si>
  <si>
    <t>TD FUSE</t>
  </si>
  <si>
    <t>NEMA SIZE</t>
  </si>
  <si>
    <t>THHN</t>
  </si>
  <si>
    <t>EQUIP. GRND</t>
  </si>
  <si>
    <t>FUSED DIS. SIZE</t>
  </si>
  <si>
    <t>TOTAL AREA</t>
  </si>
  <si>
    <t>MIN. RMC</t>
  </si>
  <si>
    <t>MIN. EYS</t>
  </si>
  <si>
    <t>½</t>
  </si>
  <si>
    <t>OO</t>
  </si>
  <si>
    <t>¾</t>
  </si>
  <si>
    <t>O</t>
  </si>
  <si>
    <t>1 ¼</t>
  </si>
  <si>
    <t>2 ½</t>
  </si>
  <si>
    <t>3 ½</t>
  </si>
  <si>
    <t>460 VOLT – THREE PHASE - MOTOR CALCULATIONS FOR PARALLEL RUNS</t>
  </si>
  <si>
    <t>D/2</t>
  </si>
  <si>
    <t>THHN X2</t>
  </si>
  <si>
    <t>EQUIP. GRND X2</t>
  </si>
  <si>
    <t>MIN. RMC X2</t>
  </si>
  <si>
    <t>MIN. EYS X2</t>
  </si>
  <si>
    <t>2011 and 2014 National Electrical Code Basic AC Motor Circuit Calculations</t>
  </si>
  <si>
    <t>Find Full Load Current (FLC) in the appropriate table, 430.250 or 430.248.</t>
  </si>
  <si>
    <t>Calculate Short Circuit and Ground Fault Protection</t>
  </si>
  <si>
    <t>Use Table 430.52 first, then</t>
  </si>
  <si>
    <t>Use Table 240.6 to find the Standard Ampere Rating.</t>
  </si>
  <si>
    <t>Calculate the Conductor Size</t>
  </si>
  <si>
    <t>Multiple the FLC by 125% as specified in 430.22.</t>
  </si>
  <si>
    <t>Choose the correct conductor size using Table 310.15(B)(16)</t>
  </si>
  <si>
    <t>Review 110.14(C)(1) to choose correct temperature rating.</t>
  </si>
  <si>
    <t>Calculate the proper “Over Load” setting.</t>
  </si>
  <si>
    <t>Look for Full Load Amperes (FLA) listed on the motor name plate.</t>
  </si>
  <si>
    <t>Look for the Service Factor (SF) and/or Temperature Rise on the motor name plate.</t>
  </si>
  <si>
    <t>Review 430.32(A)(1) to calculate the proper motor overload value.</t>
  </si>
  <si>
    <t>Choose Minimum Equipment Grounding Conductor from Table 250.122.</t>
  </si>
  <si>
    <t xml:space="preserve">Choose an appropriate conduit, cable, or cord for your motor circuit. </t>
  </si>
  <si>
    <t>To calculate the correct conduit size using Tables 4 and 5 in Chapter 9, or use the Tables in Annex C.</t>
  </si>
  <si>
    <t>Review Articles 320 to 340 for cable information.</t>
  </si>
  <si>
    <t>Review Articles 342 to 362 for conduit information.</t>
  </si>
  <si>
    <t>Review Article 400 for cord information</t>
  </si>
  <si>
    <t>Choose the correct NEMA or IEC contactors and starter from equipment from information provided by manufactures. Review Article 100.3(B).</t>
  </si>
  <si>
    <t>If you are using a variable speed drive, VSD, ASD, or a Soft Starter, read the information provided by the manufacturer carefully. Review Article 100.3(B).</t>
  </si>
  <si>
    <t xml:space="preserve">Choose an appropriate enclosures, conduit, conduit fittings, and junction boxes. Base your selection on the location of the equipment. </t>
  </si>
  <si>
    <t xml:space="preserve">Review Table 110.28. </t>
  </si>
  <si>
    <t>Review Chapters 5-8, if the equipment will be used in Hazardous or Special Locations.</t>
  </si>
  <si>
    <t>TRADE</t>
  </si>
  <si>
    <t>1 WIRE</t>
  </si>
  <si>
    <t>2 WIRE</t>
  </si>
  <si>
    <t>OVER 2 WIRES</t>
  </si>
  <si>
    <t>SEAL OFF</t>
  </si>
  <si>
    <t>SIZE</t>
  </si>
  <si>
    <t>Change the values in the highlighted cells.</t>
  </si>
  <si>
    <t>Standard Calculation</t>
  </si>
  <si>
    <t>Table Version</t>
  </si>
  <si>
    <t>SPM</t>
  </si>
  <si>
    <t>90% Eff.</t>
  </si>
  <si>
    <t>85% Eff.</t>
  </si>
  <si>
    <t>80% Eff.</t>
  </si>
  <si>
    <t>75% Eff.</t>
  </si>
  <si>
    <t>70% Eff.</t>
  </si>
  <si>
    <t>IN MIN</t>
  </si>
  <si>
    <t>IN MAX</t>
  </si>
  <si>
    <t>OUT MIN</t>
  </si>
  <si>
    <t>OUT MAX</t>
  </si>
  <si>
    <t>CALCULATED GAIN</t>
  </si>
  <si>
    <t>CALCULATED BIAS</t>
  </si>
  <si>
    <t>Cost</t>
  </si>
  <si>
    <t>Points</t>
  </si>
  <si>
    <t>Markup</t>
  </si>
  <si>
    <t>Margin</t>
  </si>
  <si>
    <t>Sales/List Price</t>
  </si>
  <si>
    <t>Conductor Fill Calculator</t>
  </si>
  <si>
    <t>LINE</t>
  </si>
  <si>
    <t>QTY</t>
  </si>
  <si>
    <t>WIRE</t>
  </si>
  <si>
    <t>#8 THHN</t>
  </si>
  <si>
    <t># 10 THHN</t>
  </si>
  <si>
    <t># 14 THHN</t>
  </si>
  <si>
    <t>Subtotal 1</t>
  </si>
  <si>
    <t>CABLE DIA.</t>
  </si>
  <si>
    <t>"INCHES"</t>
  </si>
  <si>
    <t>Other</t>
  </si>
  <si>
    <t>Subtotal 2</t>
  </si>
  <si>
    <t>Total Wire Fill</t>
  </si>
  <si>
    <t>Add up the total area of your conductor fill.</t>
  </si>
  <si>
    <t>Choose your conduit size from Chapter 9, Table 4</t>
  </si>
  <si>
    <t xml:space="preserve">a. </t>
  </si>
  <si>
    <t>Use 60% fill for conduits 24" or less, NEC Note to Ch. 9, Table 1.</t>
  </si>
  <si>
    <t>b.</t>
  </si>
  <si>
    <t>Use 53% fill for single wires and single cables, NEC Ch. 9, Table 1.</t>
  </si>
  <si>
    <t>c.</t>
  </si>
  <si>
    <t>Use 40% fill for most conduit applications, NEC Ch. 9, Table 1.</t>
  </si>
  <si>
    <t>d.</t>
  </si>
  <si>
    <t>Use 31% fill for two wire applications, NEC Ch. 9, Table 1.</t>
  </si>
  <si>
    <t>e.</t>
  </si>
  <si>
    <t>Use 25% fill for seal off (EYS) fittings, NEC 501.15</t>
  </si>
  <si>
    <t>f.</t>
  </si>
  <si>
    <t xml:space="preserve">Use 20% fill for wireways, NEC 376.22(A) </t>
  </si>
  <si>
    <t>100%</t>
  </si>
  <si>
    <t>60%</t>
  </si>
  <si>
    <t>53%</t>
  </si>
  <si>
    <t>31%</t>
  </si>
  <si>
    <t>40%</t>
  </si>
  <si>
    <t>25%</t>
  </si>
  <si>
    <t>1/2"</t>
  </si>
  <si>
    <t>3/4"</t>
  </si>
  <si>
    <t>1"</t>
  </si>
  <si>
    <t>1 - 1/4"</t>
  </si>
  <si>
    <t>1 - 1/2"</t>
  </si>
  <si>
    <t>2"</t>
  </si>
  <si>
    <t>2 - 1/2"</t>
  </si>
  <si>
    <t>3"</t>
  </si>
  <si>
    <t>3 - 1/2"</t>
  </si>
  <si>
    <t>5"</t>
  </si>
  <si>
    <t>BRAKE HORSE POWER</t>
  </si>
  <si>
    <t>COMMON GPM FORMULA</t>
  </si>
  <si>
    <t>INLET PSI</t>
  </si>
  <si>
    <t>OUTLET PSI</t>
  </si>
  <si>
    <t>FT. THD</t>
  </si>
  <si>
    <t>CONSTANT</t>
  </si>
  <si>
    <t>PUMP EFF.</t>
  </si>
  <si>
    <t>BHP</t>
  </si>
  <si>
    <t>GPM X TDH X SG / 3960 X PUMP EFF.</t>
  </si>
  <si>
    <t>COMMON BPD FORMULA</t>
  </si>
  <si>
    <t>BPD</t>
  </si>
  <si>
    <t>1.7 X BPD X PSI X SG / 100,000 X PUMP EFF.</t>
  </si>
  <si>
    <t>WEATHERFORD FORMULA</t>
  </si>
  <si>
    <t>BPD X PSI / 58800 X PUMP EFF.</t>
  </si>
  <si>
    <t>Misc. Conversions</t>
  </si>
  <si>
    <t>QUICK LOAD CALCULATOR</t>
  </si>
  <si>
    <t>NAME</t>
  </si>
  <si>
    <t>I</t>
  </si>
  <si>
    <t>V</t>
  </si>
  <si>
    <t>PF</t>
  </si>
  <si>
    <t>EFF</t>
  </si>
  <si>
    <t>1 OR 1.73</t>
  </si>
  <si>
    <t>KVA</t>
  </si>
  <si>
    <t>142A</t>
  </si>
  <si>
    <t>141B</t>
  </si>
  <si>
    <t>141A1</t>
  </si>
  <si>
    <t>143B1</t>
  </si>
  <si>
    <t>142B</t>
  </si>
  <si>
    <t xml:space="preserve">143B </t>
  </si>
  <si>
    <t>143A1</t>
  </si>
  <si>
    <t xml:space="preserve">143A </t>
  </si>
  <si>
    <t>TOTALS</t>
  </si>
  <si>
    <t>Heater</t>
  </si>
  <si>
    <t>#6 THHN</t>
  </si>
  <si>
    <t>#4 THHN</t>
  </si>
  <si>
    <t>#2 THHN</t>
  </si>
  <si>
    <t># 12 THHN</t>
  </si>
  <si>
    <t>#3 THHN</t>
  </si>
  <si>
    <t>#1 THHN</t>
  </si>
  <si>
    <t>1/O THHN</t>
  </si>
  <si>
    <t>2/O THHN</t>
  </si>
  <si>
    <t>3/O THHN</t>
  </si>
  <si>
    <t>4/O THHN</t>
  </si>
  <si>
    <t>250 THHN</t>
  </si>
  <si>
    <t>60C</t>
  </si>
  <si>
    <t>75C</t>
  </si>
  <si>
    <t>See 240.6(A)</t>
  </si>
  <si>
    <t>See 210.19 (A)(1), 215.2(A), and 430.22</t>
  </si>
  <si>
    <t>Table 310.15(B)(2)(a) Temperature Adjustment</t>
  </si>
  <si>
    <t>Table 310.15(B)(3)(a) Adjustment for No. Conductors</t>
  </si>
  <si>
    <t>From Table 310.15 (B)(16)</t>
  </si>
  <si>
    <t>90C</t>
  </si>
  <si>
    <t>&gt;41</t>
  </si>
  <si>
    <t>DEG F</t>
  </si>
  <si>
    <t>&lt;50</t>
  </si>
  <si>
    <t>51-59</t>
  </si>
  <si>
    <t>60-68</t>
  </si>
  <si>
    <t>69-77</t>
  </si>
  <si>
    <t>78-86</t>
  </si>
  <si>
    <t>87-95</t>
  </si>
  <si>
    <t>96-104</t>
  </si>
  <si>
    <t>105-113</t>
  </si>
  <si>
    <t>114-122</t>
  </si>
  <si>
    <t>123-131</t>
  </si>
  <si>
    <t>132-140</t>
  </si>
  <si>
    <t>141-149</t>
  </si>
  <si>
    <t>150-158</t>
  </si>
  <si>
    <t>159-167</t>
  </si>
  <si>
    <t>168-176</t>
  </si>
  <si>
    <t>177-185</t>
  </si>
  <si>
    <t>Table 310.15(B)(3)(a) Adjustment for Number of Conductors</t>
  </si>
  <si>
    <t>Total Adjustment</t>
  </si>
  <si>
    <t>MAX AMPS TO KEEP VOLTAGE DROP UNDER A DEFINED % VOLTAGE DROP</t>
  </si>
  <si>
    <t>Source: NEC 2014</t>
  </si>
  <si>
    <t>Spreadsheet by:</t>
  </si>
  <si>
    <t>Based on 75C CU</t>
  </si>
  <si>
    <t>Table 310.15(B)(16)</t>
  </si>
  <si>
    <t>Based on 75C AL</t>
  </si>
  <si>
    <t>PSI RANGE</t>
  </si>
  <si>
    <t>X 2.31 =</t>
  </si>
  <si>
    <t>-</t>
  </si>
  <si>
    <t>18 AWG</t>
  </si>
  <si>
    <t>16 AWG</t>
  </si>
  <si>
    <t>14 AWG</t>
  </si>
  <si>
    <t>12 AWG</t>
  </si>
  <si>
    <t>10 AWG</t>
  </si>
  <si>
    <t>8 AWG</t>
  </si>
  <si>
    <t>6 AWG</t>
  </si>
  <si>
    <t>4 AWG</t>
  </si>
  <si>
    <t>3 AWG</t>
  </si>
  <si>
    <t>2 AWG</t>
  </si>
  <si>
    <t>1 AWG</t>
  </si>
  <si>
    <t>250 KCIML</t>
  </si>
  <si>
    <t>300 KCIML</t>
  </si>
  <si>
    <t>350 KCIML</t>
  </si>
  <si>
    <t>400 KCIML</t>
  </si>
  <si>
    <t>500 KCIML</t>
  </si>
  <si>
    <t>600 KCIML</t>
  </si>
  <si>
    <t>700 KCIML</t>
  </si>
  <si>
    <t>750 KCIML</t>
  </si>
  <si>
    <t>800 KCIML</t>
  </si>
  <si>
    <t>900 KCIML</t>
  </si>
  <si>
    <t>1000 KCIML</t>
  </si>
  <si>
    <t>1250 KCIML</t>
  </si>
  <si>
    <t>1500 KCIML</t>
  </si>
  <si>
    <t>1750 KCIML</t>
  </si>
  <si>
    <t>2000 KCIML</t>
  </si>
  <si>
    <t>Wire Size Drop Down</t>
  </si>
  <si>
    <t>Max Percent Voltage Drop</t>
  </si>
  <si>
    <t>Use 1.732 or 2</t>
  </si>
  <si>
    <t>1/O AWG</t>
  </si>
  <si>
    <t xml:space="preserve">2/O AWG </t>
  </si>
  <si>
    <t>3/O AWG</t>
  </si>
  <si>
    <t xml:space="preserve">4/O AWG </t>
  </si>
  <si>
    <t>K=12.9 for CU and K=21.2 for AL</t>
  </si>
  <si>
    <t>Note</t>
  </si>
  <si>
    <t>DOWN HOLE LENGTH</t>
  </si>
  <si>
    <t>SOURCE VOLTS</t>
  </si>
  <si>
    <t>%VD Source to W.H.</t>
  </si>
  <si>
    <t>%VD Source to Pump</t>
  </si>
  <si>
    <t>1620, 18 AWG</t>
  </si>
  <si>
    <t>2580, 16 AWG</t>
  </si>
  <si>
    <t>4110, 14 AWG</t>
  </si>
  <si>
    <t>6530, 12 AWG</t>
  </si>
  <si>
    <t>10380, 10 AWG</t>
  </si>
  <si>
    <t>16510, 8 AWG</t>
  </si>
  <si>
    <t>26240, 6 AWG</t>
  </si>
  <si>
    <t>41740, 4 AWG</t>
  </si>
  <si>
    <t>52620, 3 AWG</t>
  </si>
  <si>
    <t>66360, 2 AWG</t>
  </si>
  <si>
    <t>83690, 1 AWG</t>
  </si>
  <si>
    <t>105600, 1/O AWG</t>
  </si>
  <si>
    <t xml:space="preserve">133100, 2/O AWG </t>
  </si>
  <si>
    <t>167800, 3/O AWG</t>
  </si>
  <si>
    <t>211200, 2 X 1/O</t>
  </si>
  <si>
    <t xml:space="preserve">211600, 4/O AWG </t>
  </si>
  <si>
    <t>250000, 250 KCIML</t>
  </si>
  <si>
    <t>300000, 300 KCIML</t>
  </si>
  <si>
    <t>316800, 3 X 1/O</t>
  </si>
  <si>
    <t>350000, 350 KCIML</t>
  </si>
  <si>
    <t>400000, 400 KCIML</t>
  </si>
  <si>
    <t>423200, 2 X 4/O</t>
  </si>
  <si>
    <t>500000, 2 X 250</t>
  </si>
  <si>
    <t>500000, 500 KCIML</t>
  </si>
  <si>
    <t>600000, 600 KCIML</t>
  </si>
  <si>
    <t>634800, 2 X 4/O</t>
  </si>
  <si>
    <t>700000, 700 KCIML</t>
  </si>
  <si>
    <t>750000, 3 X 250</t>
  </si>
  <si>
    <t>750000, 750 KCIML</t>
  </si>
  <si>
    <t>800000, 800 KCIML</t>
  </si>
  <si>
    <t>900000, 900 KCIML</t>
  </si>
  <si>
    <t>1000000, 1000 KCIML</t>
  </si>
  <si>
    <t>1250000, 1250 KCIML</t>
  </si>
  <si>
    <t>1500000, 1500 KCIML</t>
  </si>
  <si>
    <t>1750000, 1750 KCIML</t>
  </si>
  <si>
    <t>2000000, 2000 KCIML</t>
  </si>
  <si>
    <t>ACTUAL CMILS</t>
  </si>
  <si>
    <t>CALC. CMILS</t>
  </si>
  <si>
    <t>Choose Wire  (CMILS, AWG)</t>
  </si>
  <si>
    <t>SOURCE TO W.H. LENGTH</t>
  </si>
  <si>
    <t>POWER DROP TO WELL HEAD (W.H.) CALCULATION</t>
  </si>
  <si>
    <t>VOLTS AT PUMP</t>
  </si>
  <si>
    <t>VOLTS AT W.H.</t>
  </si>
  <si>
    <t>If you have any comments, please contact me at risingedgeservices@gmail.com</t>
  </si>
  <si>
    <t>BASE HZ</t>
  </si>
  <si>
    <t>MOTOR SPEED</t>
  </si>
  <si>
    <t>RPM</t>
  </si>
  <si>
    <t xml:space="preserve">Warning: </t>
  </si>
  <si>
    <t>Copper Conductors</t>
  </si>
  <si>
    <t>Aluminum Conductors</t>
  </si>
  <si>
    <t>Lorn Macilravie, Master Electrician</t>
  </si>
  <si>
    <t>risingedgeservices@gmail.com</t>
  </si>
  <si>
    <t>Write your notes here.</t>
  </si>
  <si>
    <r>
      <t xml:space="preserve"> </t>
    </r>
    <r>
      <rPr>
        <b/>
        <sz val="8"/>
        <color indexed="8"/>
        <rFont val="Arial;Arial"/>
        <family val="2"/>
      </rPr>
      <t xml:space="preserve">A.P.I. </t>
    </r>
  </si>
  <si>
    <t>Mobile: 307-696-7926</t>
  </si>
  <si>
    <t>MOTOR SHAFT RPM</t>
  </si>
  <si>
    <t>Name Plate Volts</t>
  </si>
  <si>
    <t>Name Plate HZ</t>
  </si>
  <si>
    <t>V/HZ</t>
  </si>
  <si>
    <t>SLIP</t>
  </si>
  <si>
    <t>HZ</t>
  </si>
  <si>
    <t>Table Calculation: Shaft RPM=(RPM*(Name Plate HZ/60))-((RPM*(Name Plate (HZ/60))*SLIP)</t>
  </si>
  <si>
    <t>MOTOR TORQUE</t>
  </si>
  <si>
    <t>HZ, 50 or 60</t>
  </si>
  <si>
    <t>BASE RPM</t>
  </si>
  <si>
    <t>=(120*HZ)/Poles</t>
  </si>
  <si>
    <t>MOTOR RPM</t>
  </si>
  <si>
    <t>=BASE RPM-(BASE RPM*SLIP)</t>
  </si>
  <si>
    <t>Table Calculation: TORQUE=(HP*5252)/MOTOR RPM</t>
  </si>
  <si>
    <t>115 VOLT – SINGLE PHASE - MOTOR CALCULATIONS - FROM TABLE 430.248</t>
  </si>
  <si>
    <t>AREA</t>
  </si>
  <si>
    <t>1/6</t>
  </si>
  <si>
    <t>1/3</t>
  </si>
  <si>
    <t xml:space="preserve">O </t>
  </si>
  <si>
    <t>208 VOLT – SINGLE PHASE - MOTOR CALCULATIONS - FROM TABLE 430.248</t>
  </si>
  <si>
    <t>230 VOLT – SINGLE PHASE - MOTOR CALCULATIONS - FROM TABLE 430.248</t>
  </si>
  <si>
    <t>307-696-7926</t>
  </si>
  <si>
    <t>ITB</t>
  </si>
  <si>
    <t>Optional Method</t>
  </si>
  <si>
    <t xml:space="preserve">Load </t>
  </si>
  <si>
    <t>VA</t>
  </si>
  <si>
    <t>Total</t>
  </si>
  <si>
    <t>Total Square Feet</t>
  </si>
  <si>
    <t>220.82(B)(1)</t>
  </si>
  <si>
    <t>Small Appliance Circuits</t>
  </si>
  <si>
    <t>220.82(B)(2)</t>
  </si>
  <si>
    <t>Laundry Circuits</t>
  </si>
  <si>
    <t>Range NP Rating</t>
  </si>
  <si>
    <t>220.82(B)(3)</t>
  </si>
  <si>
    <t>Dryer NP Rating</t>
  </si>
  <si>
    <t>Water Heater NP Rating</t>
  </si>
  <si>
    <t>Appliance 1</t>
  </si>
  <si>
    <t>Appliance 2</t>
  </si>
  <si>
    <t>Appliance 3</t>
  </si>
  <si>
    <t>Appliance 4</t>
  </si>
  <si>
    <t>Appliance 5</t>
  </si>
  <si>
    <t>Appliance 6</t>
  </si>
  <si>
    <t>Appliance 7</t>
  </si>
  <si>
    <t>Appliance 8</t>
  </si>
  <si>
    <t>Motors</t>
  </si>
  <si>
    <t>220.82(B)(4)</t>
  </si>
  <si>
    <t>Total General Loads</t>
  </si>
  <si>
    <t>Second Step: Figure the Demand Load</t>
  </si>
  <si>
    <t>First 10,000 VA at 100%</t>
  </si>
  <si>
    <t>220.82(B)</t>
  </si>
  <si>
    <t>Demand Load</t>
  </si>
  <si>
    <t>Air Conditioning NP</t>
  </si>
  <si>
    <t>220.82(C)(1)</t>
  </si>
  <si>
    <t>220.82(C)(2)</t>
  </si>
  <si>
    <t>Heating Supplemental to the Heat Pump</t>
  </si>
  <si>
    <t>220.82(C)(3)</t>
  </si>
  <si>
    <t>0 to 3 Space Heaters</t>
  </si>
  <si>
    <t>220.82(C)(4)</t>
  </si>
  <si>
    <t>4 or more Space Heaters</t>
  </si>
  <si>
    <t>220.82(C)(5)</t>
  </si>
  <si>
    <t>Electric Thermal Storage</t>
  </si>
  <si>
    <t>220.82(C)(6)</t>
  </si>
  <si>
    <t>Heating and Air-Conditioning Load</t>
  </si>
  <si>
    <t>Fourth Step: Add the Demand Load to the HVAC Load, then divide by 240V</t>
  </si>
  <si>
    <t xml:space="preserve">VA / 240 = </t>
  </si>
  <si>
    <t>General Lighting and Receptacles, Small Appliances, and Laundry</t>
  </si>
  <si>
    <t>TABLE 220.12</t>
  </si>
  <si>
    <t>220.52(A)</t>
  </si>
  <si>
    <t>220.52(B)</t>
  </si>
  <si>
    <t>Total Connected Load</t>
  </si>
  <si>
    <t>First 3000 VA</t>
  </si>
  <si>
    <t>TABLE 220.42</t>
  </si>
  <si>
    <t>3001 VA to 120000 VA</t>
  </si>
  <si>
    <t>TABLE 220.43</t>
  </si>
  <si>
    <t xml:space="preserve">Remainder </t>
  </si>
  <si>
    <t>TABLE 220.44</t>
  </si>
  <si>
    <t>Total #1</t>
  </si>
  <si>
    <t>Total Demand Load</t>
  </si>
  <si>
    <t>Air Conditioning or Heat</t>
  </si>
  <si>
    <t>220.60</t>
  </si>
  <si>
    <t>Heating Calculations</t>
  </si>
  <si>
    <t>Air Conditioning Calculations</t>
  </si>
  <si>
    <t>440.6 (A) and (B)</t>
  </si>
  <si>
    <t>Use 100% of the total electric heating load. Use the Name Plate value for the AC loads.</t>
  </si>
  <si>
    <t>Total #2</t>
  </si>
  <si>
    <t>Appliances</t>
  </si>
  <si>
    <t>220.53</t>
  </si>
  <si>
    <t>Appliance 9</t>
  </si>
  <si>
    <t>Appliance 10</t>
  </si>
  <si>
    <t>Total - Use this value, if there are 3 or fewer appliances</t>
  </si>
  <si>
    <t>Demand Factor applied (Total X 0.75) - Use this value if 4 or more appliances</t>
  </si>
  <si>
    <t>Total #3</t>
  </si>
  <si>
    <t>Clothes Dryer</t>
  </si>
  <si>
    <t>220.54</t>
  </si>
  <si>
    <t>Dryer VA</t>
  </si>
  <si>
    <t>Minimum VA</t>
  </si>
  <si>
    <t>Use the name plate VA of your dryer, unless the nameplate is less than 5000 VA.</t>
  </si>
  <si>
    <t>If less than 5000 VA, use 5000 VA for your dryer circuit.</t>
  </si>
  <si>
    <t>Total #4</t>
  </si>
  <si>
    <t>Cooking Equipment</t>
  </si>
  <si>
    <t>TABLE 220.55</t>
  </si>
  <si>
    <t>Units</t>
  </si>
  <si>
    <t>Demand</t>
  </si>
  <si>
    <t>Column A</t>
  </si>
  <si>
    <t>Column B</t>
  </si>
  <si>
    <t>Column C</t>
  </si>
  <si>
    <t>Total #5</t>
  </si>
  <si>
    <t>220.18(A) and 220.50</t>
  </si>
  <si>
    <t>Largest Motor VA</t>
  </si>
  <si>
    <t>X 1.25 =</t>
  </si>
  <si>
    <t>Sum of the other motor VA</t>
  </si>
  <si>
    <t>X 1.00 =</t>
  </si>
  <si>
    <t>Total #6</t>
  </si>
  <si>
    <t>Other Loads</t>
  </si>
  <si>
    <t>Load 1</t>
  </si>
  <si>
    <t>Load 2</t>
  </si>
  <si>
    <t>Feeder and Service Conductor Size</t>
  </si>
  <si>
    <t>Total #7</t>
  </si>
  <si>
    <t>MOTOR WINDING TEMPERATURE EVALUATION</t>
  </si>
  <si>
    <t>Chart Values in Celsius</t>
  </si>
  <si>
    <t>Chart for the Metric Impaired</t>
  </si>
  <si>
    <t>STANDARD MOTORS, 1/2 to 500HP</t>
  </si>
  <si>
    <t>Max. Temp Rise at 40C Ambient</t>
  </si>
  <si>
    <t>Max. Temp Rise at 104F Ambient</t>
  </si>
  <si>
    <t>Ins.</t>
  </si>
  <si>
    <t>Max. Temp Allowed</t>
  </si>
  <si>
    <t>SF 1.15</t>
  </si>
  <si>
    <t>SF 1.0</t>
  </si>
  <si>
    <t>Class</t>
  </si>
  <si>
    <t>C</t>
  </si>
  <si>
    <t>F</t>
  </si>
  <si>
    <t>B</t>
  </si>
  <si>
    <t>H</t>
  </si>
  <si>
    <t>LARGER MOTORS</t>
  </si>
  <si>
    <t>Motor Temperature Rise Calculator</t>
  </si>
  <si>
    <t>What is the Insulation Class of the windings on your motor?</t>
  </si>
  <si>
    <t>Actual Winding Temperature, measured in degrees Celsius.</t>
  </si>
  <si>
    <t>Actual Ambient Temperature, measured in degrees Celsius.</t>
  </si>
  <si>
    <t>"Max. Temp Rise at 40C Ambient", from on charts above.</t>
  </si>
  <si>
    <t>"Max. Temp Allowed", from charts above</t>
  </si>
  <si>
    <t>Actual Temperature Rise Over Ambient</t>
  </si>
  <si>
    <t>Celsius to Fahrenheit</t>
  </si>
  <si>
    <t>Fahrenheit to Celsius</t>
  </si>
  <si>
    <t>Max Temp Allowed: This allows for hot spots in the motor windings</t>
  </si>
  <si>
    <t xml:space="preserve">NEMA rates motors at an ambient temperature of 40C. </t>
  </si>
  <si>
    <t>Example: 40C + (Temp Rise for a Class B, 1.15 SF Motor) = 130C, or 40C + 90C = 130C</t>
  </si>
  <si>
    <t>Every 10C rise in operating temperature halves the life of the windings.</t>
  </si>
  <si>
    <t>Motor Winding Temperatures</t>
  </si>
  <si>
    <t>T1, First Temperature (Degrees Celsius) (Measure the cool, or cold, temperature before running the motor or transformer)</t>
  </si>
  <si>
    <t>R1, First Resistance (Ohms) (Measure at the same time you measure T1)</t>
  </si>
  <si>
    <t>R2, Second Resistance (Ohms) (Measured after running the motor or transformer)</t>
  </si>
  <si>
    <t>T2, Second Temperature (Degrees Celsius) (CU windings, with a coefficient of 0.00393)</t>
  </si>
  <si>
    <t>T2, Second Temperature (Degrees Celsius) (AL windings with a coefficient of 0.00429)</t>
  </si>
  <si>
    <t>Formula used: ((R2/R1)-1)/coefficient</t>
  </si>
  <si>
    <r>
      <t>IN</t>
    </r>
    <r>
      <rPr>
        <b/>
        <vertAlign val="superscript"/>
        <sz val="10"/>
        <rFont val="Arial"/>
        <family val="2"/>
      </rPr>
      <t>2</t>
    </r>
  </si>
  <si>
    <t>+</t>
  </si>
  <si>
    <r>
      <t>Rigid Metal Conduit (RMC) - Area in IN</t>
    </r>
    <r>
      <rPr>
        <b/>
        <vertAlign val="superscript"/>
        <sz val="10"/>
        <rFont val="Arial"/>
        <family val="2"/>
      </rPr>
      <t>2</t>
    </r>
  </si>
  <si>
    <t>&lt; 24" Nipple</t>
  </si>
  <si>
    <r>
      <t>Rigid PVC, Schedule 40- Area in IN</t>
    </r>
    <r>
      <rPr>
        <b/>
        <vertAlign val="superscript"/>
        <sz val="10"/>
        <rFont val="Arial"/>
        <family val="2"/>
      </rPr>
      <t>2</t>
    </r>
  </si>
  <si>
    <r>
      <t>EMT - Area in IN</t>
    </r>
    <r>
      <rPr>
        <b/>
        <vertAlign val="superscript"/>
        <sz val="10"/>
        <rFont val="Arial"/>
        <family val="2"/>
      </rPr>
      <t>2</t>
    </r>
  </si>
  <si>
    <r>
      <t>Liquidtight (LFMC) - Area in IN</t>
    </r>
    <r>
      <rPr>
        <b/>
        <vertAlign val="superscript"/>
        <sz val="10"/>
        <rFont val="Arial"/>
        <family val="2"/>
      </rPr>
      <t>2</t>
    </r>
  </si>
  <si>
    <t>There are a lot of rules related to doing electrical work. Learn them and use them before using these spreadsheets.</t>
  </si>
  <si>
    <t>You are free to use and modify my spreadsheets. Nothing here is that original.</t>
  </si>
  <si>
    <t>Don't forget to calculate your minimum wire size first!</t>
  </si>
  <si>
    <r>
      <t>a. Look up your wire and wire area (IN</t>
    </r>
    <r>
      <rPr>
        <vertAlign val="superscript"/>
        <sz val="8"/>
        <rFont val="Arial"/>
        <family val="2"/>
      </rPr>
      <t>2</t>
    </r>
    <r>
      <rPr>
        <sz val="8"/>
        <rFont val="Arial"/>
        <family val="2"/>
      </rPr>
      <t>) in Chapter 9, Table 5.</t>
    </r>
  </si>
  <si>
    <r>
      <t>b. Calculate the area of individual cables. Use the formula,  πr</t>
    </r>
    <r>
      <rPr>
        <vertAlign val="superscript"/>
        <sz val="8"/>
        <rFont val="Arial"/>
        <family val="2"/>
      </rPr>
      <t>2</t>
    </r>
  </si>
  <si>
    <t>COMMON ELECTRICAL FORMULAS</t>
  </si>
  <si>
    <t>HP (Horse Power)</t>
  </si>
  <si>
    <t>D</t>
  </si>
  <si>
    <t>EFF (Efficiency)</t>
  </si>
  <si>
    <t>E</t>
  </si>
  <si>
    <t>KVA (Kilovolt Amps)</t>
  </si>
  <si>
    <t>G</t>
  </si>
  <si>
    <t>I (Amps)</t>
  </si>
  <si>
    <t>J</t>
  </si>
  <si>
    <t>KVA/HP (Locked Rotor Code) =</t>
  </si>
  <si>
    <t>L</t>
  </si>
  <si>
    <t>3 Phase Calculation</t>
  </si>
  <si>
    <t>3 Phase Formula</t>
  </si>
  <si>
    <t>N</t>
  </si>
  <si>
    <t>Amps from HP</t>
  </si>
  <si>
    <t>P</t>
  </si>
  <si>
    <t>Amps from KW</t>
  </si>
  <si>
    <t>R</t>
  </si>
  <si>
    <t>Amps from KVA</t>
  </si>
  <si>
    <t>S</t>
  </si>
  <si>
    <t>T</t>
  </si>
  <si>
    <t>U</t>
  </si>
  <si>
    <t>Locked Rotor Current</t>
  </si>
  <si>
    <t>LR CODE</t>
  </si>
  <si>
    <t>Single Phase</t>
  </si>
  <si>
    <t>Single Phase Calculation</t>
  </si>
  <si>
    <t>Single Phase Formula</t>
  </si>
  <si>
    <t>DC</t>
  </si>
  <si>
    <t>DC Calculation</t>
  </si>
  <si>
    <t>DC Formula</t>
  </si>
  <si>
    <t>The password to these spreadsheets is, "password".</t>
  </si>
  <si>
    <t>I = (HP X 746) / (E X EFF X PF X 1.732)</t>
  </si>
  <si>
    <t>I = (KW X 1000) / (E X PF X 1.732)</t>
  </si>
  <si>
    <t>I = (KVA X 1000) / (E X 1.732)</t>
  </si>
  <si>
    <t>KW = (E X I X PF X 1.732) / 1000</t>
  </si>
  <si>
    <t>KVA = (E X I X 1.732) / 1000</t>
  </si>
  <si>
    <t>HP = (E x I x EFF x PF x 1.732) / 746</t>
  </si>
  <si>
    <t>LRC = (HP X KVA/HP X 1000) / (E X 1.732)</t>
  </si>
  <si>
    <t>I = (HP X 746) / (E X EFF X PF)</t>
  </si>
  <si>
    <t>I = (KW X 1000) / (E X PF)</t>
  </si>
  <si>
    <t>I = (KVA X 1000) / E</t>
  </si>
  <si>
    <t>KW = (E X I X PF) / 1000</t>
  </si>
  <si>
    <t>KVA = (E X I) / 1000</t>
  </si>
  <si>
    <t>HP = (E X I X EFF X PF) / 746</t>
  </si>
  <si>
    <t>LRC = (HP X KVA/HP X 1000) / E</t>
  </si>
  <si>
    <t>I = (HP X 746) / (E X EFF)</t>
  </si>
  <si>
    <t>I = (KW X 1000) / E</t>
  </si>
  <si>
    <t>KW = (E X I) / 1000</t>
  </si>
  <si>
    <t>HP = (E X I X EFF) / 746</t>
  </si>
  <si>
    <r>
      <t>Volts</t>
    </r>
    <r>
      <rPr>
        <vertAlign val="superscript"/>
        <sz val="10"/>
        <color indexed="8"/>
        <rFont val="Arial"/>
        <family val="2"/>
      </rPr>
      <t>2</t>
    </r>
  </si>
  <si>
    <r>
      <t>Amps</t>
    </r>
    <r>
      <rPr>
        <vertAlign val="superscript"/>
        <sz val="10"/>
        <color indexed="8"/>
        <rFont val="Arial"/>
        <family val="2"/>
      </rPr>
      <t>2</t>
    </r>
    <r>
      <rPr>
        <sz val="10"/>
        <color indexed="8"/>
        <rFont val="Arial"/>
        <family val="2"/>
        <charset val="1"/>
      </rPr>
      <t xml:space="preserve">  x Ohms</t>
    </r>
  </si>
  <si>
    <r>
      <t>Amps</t>
    </r>
    <r>
      <rPr>
        <vertAlign val="superscript"/>
        <sz val="10"/>
        <color indexed="8"/>
        <rFont val="Arial"/>
        <family val="2"/>
      </rPr>
      <t>2</t>
    </r>
  </si>
  <si>
    <t>Totals</t>
  </si>
  <si>
    <t>Note 1:</t>
  </si>
  <si>
    <t>Note 2:</t>
  </si>
  <si>
    <t>Note 3:</t>
  </si>
  <si>
    <t>Note 4:</t>
  </si>
  <si>
    <t>No temperature correction needed. No derating for number of current carrying conductors in the conduit is needed. The equipment is inside a temperature controlled building.</t>
  </si>
  <si>
    <t>No. of CCC</t>
  </si>
  <si>
    <t>Phase A</t>
  </si>
  <si>
    <t>Phase B</t>
  </si>
  <si>
    <t>Phase C</t>
  </si>
  <si>
    <t>Phase to Phase Voltage</t>
  </si>
  <si>
    <t>Phase to Ground Voltage</t>
  </si>
  <si>
    <t xml:space="preserve">Average </t>
  </si>
  <si>
    <t>Unbalance</t>
  </si>
  <si>
    <t>AC</t>
  </si>
  <si>
    <t>BC</t>
  </si>
  <si>
    <t>AB</t>
  </si>
  <si>
    <t>DC Control Voltage</t>
  </si>
  <si>
    <t>Control Transformer High Side</t>
  </si>
  <si>
    <t>Control Transformer Low Side</t>
  </si>
  <si>
    <t>Ratio</t>
  </si>
  <si>
    <t>Motor Amperage</t>
  </si>
  <si>
    <t>Insulation Resistance, Phase to Ground, between Breaker and Contactor</t>
  </si>
  <si>
    <t>Manufacturer</t>
  </si>
  <si>
    <t>Catalog No.</t>
  </si>
  <si>
    <t>Specification</t>
  </si>
  <si>
    <t xml:space="preserve">Frame  </t>
  </si>
  <si>
    <t>Service Factor</t>
  </si>
  <si>
    <t>Code</t>
  </si>
  <si>
    <t>Rating</t>
  </si>
  <si>
    <t>Bearings</t>
  </si>
  <si>
    <t>Enclosure</t>
  </si>
  <si>
    <t>Baldor</t>
  </si>
  <si>
    <t>40C, CONTINOUS</t>
  </si>
  <si>
    <t>HIGH</t>
  </si>
  <si>
    <t>LOW</t>
  </si>
  <si>
    <t>DATE:</t>
  </si>
  <si>
    <t>Inrush Current</t>
  </si>
  <si>
    <t>MOTOR TROUBLESHOOTING</t>
  </si>
  <si>
    <t>PROJECT:</t>
  </si>
  <si>
    <t>VDC</t>
  </si>
  <si>
    <t xml:space="preserve">The bright yellow cells are not protected. </t>
  </si>
  <si>
    <t>You are responsible for your own work.</t>
  </si>
  <si>
    <t>Sq./Ft.</t>
  </si>
  <si>
    <t>Heat Pump  NP (Without Supplemental Heating)</t>
  </si>
  <si>
    <t>Heat Pump  NP (When used with Supplemental Heating)</t>
  </si>
  <si>
    <t>Subtotals</t>
  </si>
  <si>
    <t>Sum of</t>
  </si>
  <si>
    <t>Total of Load 3</t>
  </si>
  <si>
    <t>Selection 1</t>
  </si>
  <si>
    <t>Selection 2</t>
  </si>
  <si>
    <t>Selection 3</t>
  </si>
  <si>
    <t>Selection 4</t>
  </si>
  <si>
    <t>Selection 6</t>
  </si>
  <si>
    <t>Largest of the Six Selections</t>
  </si>
  <si>
    <t>Selection 5</t>
  </si>
  <si>
    <t>First Step: General Loads</t>
  </si>
  <si>
    <t>Third Step: Figure the LARGEST of six loads Heating and Air Conditioning Loads</t>
  </si>
  <si>
    <t>Remainder at 40%, ((Total Gen. Loads - First 10,000 VA at 100%) X 40%)</t>
  </si>
  <si>
    <t>Work in Progress!</t>
  </si>
  <si>
    <t>Voltage Harmonics THD</t>
  </si>
  <si>
    <t>Current Harmonics THD</t>
  </si>
  <si>
    <t>THD</t>
  </si>
  <si>
    <t>Insulation Resistance, Phase to Ground, between Contactor, or Drive, and the Motor</t>
  </si>
  <si>
    <t>Power Factor</t>
  </si>
  <si>
    <t>Normal, 125%, OL Setting</t>
  </si>
  <si>
    <t>Max, 140%, OL Setting</t>
  </si>
  <si>
    <t>Low, 115%, OL Setting</t>
  </si>
  <si>
    <t>Service Factor Amps</t>
  </si>
  <si>
    <t xml:space="preserve">Insulation Resistance, Phase to Ground, at the Motor Leads. </t>
  </si>
  <si>
    <t>Make sure the branch circuit conductors are disconnected.</t>
  </si>
  <si>
    <t>NOTES:</t>
  </si>
  <si>
    <t>Resistance across the coil</t>
  </si>
  <si>
    <t>Avoid testing insulation resistance to ground with a drive connected to the conductors. Make sure the power is OFF.</t>
  </si>
  <si>
    <t>A low ohm meter is a good idea, especially for large motors.</t>
  </si>
  <si>
    <t>Measurements taken by Lorn MacIlravie</t>
  </si>
  <si>
    <t>Phase to Phase Ohms, on Motor Leads, at the Motor</t>
  </si>
  <si>
    <t>Phase to Phase Ohms, on the Branch Circuit Conductors, at the Contactor or Drive</t>
  </si>
  <si>
    <t>KVA calculated from HP</t>
  </si>
  <si>
    <t>DC Bus Voltage, Measured</t>
  </si>
  <si>
    <t>Average P-P Volts</t>
  </si>
  <si>
    <t>Average P-G Volts</t>
  </si>
  <si>
    <t>Average Motor Amps</t>
  </si>
  <si>
    <t>Math Reminder</t>
  </si>
  <si>
    <t>Average Resistance P-G</t>
  </si>
  <si>
    <t>Average Resistance P-P</t>
  </si>
  <si>
    <t>Inrush/NP Amps=</t>
  </si>
  <si>
    <t>Random Calculations from Motor Data</t>
  </si>
  <si>
    <t>300 THHN</t>
  </si>
  <si>
    <t>350 THHN</t>
  </si>
  <si>
    <t>400 THHN</t>
  </si>
  <si>
    <t>500 THHN</t>
  </si>
  <si>
    <t>600 THHN</t>
  </si>
  <si>
    <t>700 THHN</t>
  </si>
  <si>
    <t>750 THHN</t>
  </si>
  <si>
    <t>800 THHN</t>
  </si>
  <si>
    <t>900 THHN</t>
  </si>
  <si>
    <t>1000 THHN</t>
  </si>
  <si>
    <t>MAX KVA AT 120 VAC, Single Phase, From Table 310.15 (B)(16)</t>
  </si>
  <si>
    <t>MAX KVA AT 240 VAC, Single Phase, From Table 310.15 (B)(16)</t>
  </si>
  <si>
    <t>MAX KVA AT 480 VAC, Single Phase, From Table 310.15 (B)(16)</t>
  </si>
  <si>
    <t>MAX KVA AT 208 VAC, Three Phase, From Table 310.15 (B)(16)</t>
  </si>
  <si>
    <t>MAX KVA AT 480 VAC, Three Phase, From Table 310.15 (B)(16)</t>
  </si>
  <si>
    <t>4 Band Resistors</t>
  </si>
  <si>
    <t>1st Band</t>
  </si>
  <si>
    <t>2nd Band</t>
  </si>
  <si>
    <t>3rd Band</t>
  </si>
  <si>
    <t>4th Band</t>
  </si>
  <si>
    <t>Color</t>
  </si>
  <si>
    <t>Tolerance</t>
  </si>
  <si>
    <t>First Band</t>
  </si>
  <si>
    <t>Red</t>
  </si>
  <si>
    <t>First Significant Digit</t>
  </si>
  <si>
    <t>Black</t>
  </si>
  <si>
    <t>Second Band</t>
  </si>
  <si>
    <t>Green</t>
  </si>
  <si>
    <t>Second Significant Digit</t>
  </si>
  <si>
    <t>Brown</t>
  </si>
  <si>
    <t>Third Band</t>
  </si>
  <si>
    <t>Fourth Band</t>
  </si>
  <si>
    <t>Gold</t>
  </si>
  <si>
    <t>Orange</t>
  </si>
  <si>
    <t>Yellow</t>
  </si>
  <si>
    <t>Blue</t>
  </si>
  <si>
    <t>Digits</t>
  </si>
  <si>
    <t>Violet</t>
  </si>
  <si>
    <t>Gray</t>
  </si>
  <si>
    <t>Calculated Value</t>
  </si>
  <si>
    <t>White</t>
  </si>
  <si>
    <t>Max Value</t>
  </si>
  <si>
    <t>Min Value</t>
  </si>
  <si>
    <t>Silver</t>
  </si>
  <si>
    <t>None</t>
  </si>
  <si>
    <t>5 Band Precision Resistors</t>
  </si>
  <si>
    <t>5th Band</t>
  </si>
  <si>
    <t>Third Significant Digit</t>
  </si>
  <si>
    <t>Fifth Band</t>
  </si>
  <si>
    <t>Just Amperes, Table 310.15 (B)(16)</t>
  </si>
  <si>
    <t>ohms</t>
  </si>
  <si>
    <t>kilo</t>
  </si>
  <si>
    <t>mega</t>
  </si>
  <si>
    <t>tera</t>
  </si>
  <si>
    <t>mili</t>
  </si>
  <si>
    <t>micro</t>
  </si>
  <si>
    <t>giga</t>
  </si>
  <si>
    <t>nano</t>
  </si>
  <si>
    <t>pico</t>
  </si>
  <si>
    <t>I would love to hear your constructive criticism of my work. I'd want to correct any errors or omissions in these spreadsheets.</t>
  </si>
  <si>
    <t xml:space="preserve">Yellow tabs = </t>
  </si>
  <si>
    <t>Good Stuff</t>
  </si>
  <si>
    <t>Orange tabs =</t>
  </si>
  <si>
    <t>So, So</t>
  </si>
  <si>
    <t>Purple tabs =</t>
  </si>
  <si>
    <t>Older Sheets or Less Interesting Stuff</t>
  </si>
  <si>
    <t>Updates are occasionally available at this website:</t>
  </si>
  <si>
    <t>Volts, Line to Line</t>
  </si>
  <si>
    <t>Z, Transformer Impedance</t>
  </si>
  <si>
    <t>Isc/IL, for IEEE 519</t>
  </si>
  <si>
    <t>Transformer Bank KVA</t>
  </si>
  <si>
    <t>3 Phase Transformer FLA = KVA X 1000 / E L-L X 1.73</t>
  </si>
  <si>
    <t>Single Phase Transformer FLA = KVA X 1000 / E L-L</t>
  </si>
  <si>
    <t>20 HP Motor</t>
  </si>
  <si>
    <t>15 HP Motor</t>
  </si>
  <si>
    <t>10 HP Motor</t>
  </si>
  <si>
    <t>Noncontinuous Load</t>
  </si>
  <si>
    <t>Continuous Load</t>
  </si>
  <si>
    <t>Description</t>
  </si>
  <si>
    <t>Mult.</t>
  </si>
  <si>
    <t>See 110.14(C), 210.19 (A)(1), 215.2(A), 430.22 and 430.24</t>
  </si>
  <si>
    <t xml:space="preserve">This calculation is for a motor feeder. The largest motor is calculated at 125%,see 430.24. Since the ampacity is over 100A, see 110.14C, use the 75C column. Use #1 CU for the feeder. </t>
  </si>
  <si>
    <t>Max</t>
  </si>
  <si>
    <t>Lorn Macilravie, Master Electrician, 307-696-7926, risingedgeservices@gmail.com</t>
  </si>
  <si>
    <t>For occasional spreadsheet updates, go to:  https://sites.google.com/site/macilravie/</t>
  </si>
  <si>
    <t>No. of Cond.</t>
  </si>
  <si>
    <t>Feeder Sizing, with Temperature and Fill Adjustments</t>
  </si>
  <si>
    <t>Wire Sizing, with Temperature and Fill Adjustments</t>
  </si>
  <si>
    <t>Table 310.15 (B)(16)</t>
  </si>
  <si>
    <t>Largest Motor</t>
  </si>
  <si>
    <t>FLC, Other Motor</t>
  </si>
  <si>
    <t xml:space="preserve">Grand Total </t>
  </si>
  <si>
    <t>There are a total of 15 current carrying conductors in the conduit. Per Table 310.15(B)(3)(a), Table 310.15(B)(3)(a) needs to be derated by 0.50. It would probably be advisable to run some of these 15 conductors in separate conduits to reduce the wire cost in this installation.</t>
  </si>
  <si>
    <t>Min. AWG</t>
  </si>
  <si>
    <t>Coal on belt.</t>
  </si>
  <si>
    <t>Coil Inrush Amperes</t>
  </si>
  <si>
    <t>AAC</t>
  </si>
  <si>
    <t>Coil Seal In Amperes</t>
  </si>
  <si>
    <t>Notes: No contact chatter on startup.</t>
  </si>
  <si>
    <t>B431213</t>
  </si>
  <si>
    <t>449T</t>
  </si>
  <si>
    <t>TEFC XEX</t>
  </si>
  <si>
    <t>F Belt Main Drive Running with Coal. Size 6 Across the Line Starter</t>
  </si>
  <si>
    <t>Measurements taken with AEMC PowerPad.</t>
  </si>
  <si>
    <t>Part 1: Basic Checks</t>
  </si>
  <si>
    <t>Check power on the LINE side of the drive, LINE to GROUND</t>
  </si>
  <si>
    <t>Expected Value</t>
  </si>
  <si>
    <t>Actual Value</t>
  </si>
  <si>
    <t>- Black Lead to GROUND</t>
  </si>
  <si>
    <t>+ Red Lead to L1</t>
  </si>
  <si>
    <t>+ Red Lead to L2</t>
  </si>
  <si>
    <t>+ Red Lead to L3</t>
  </si>
  <si>
    <t>Check power on the LINE side of the drive, PHASE to PHASE</t>
  </si>
  <si>
    <t>- Black Lead to L1</t>
  </si>
  <si>
    <t>- Black Lead to L2</t>
  </si>
  <si>
    <t>Check power on the DC Bus</t>
  </si>
  <si>
    <t>- Black Lead to NEG. BUS TERMINAL</t>
  </si>
  <si>
    <t>Check for ground faults on the LINE side of the drive.</t>
  </si>
  <si>
    <t>OL</t>
  </si>
  <si>
    <t>Check for ground faults on the LOAD side of the drive.</t>
  </si>
  <si>
    <t>+ Red Lead to T1</t>
  </si>
  <si>
    <t>+ Red Lead to T2</t>
  </si>
  <si>
    <t>+ Red Lead to T3</t>
  </si>
  <si>
    <t>Part 2: Component Checks on Converter</t>
  </si>
  <si>
    <t>Notes: Value should slowly increase to OL.</t>
  </si>
  <si>
    <t>- Black Lead to L3</t>
  </si>
  <si>
    <t>- Black Lead to POS. BUS TERMINAL</t>
  </si>
  <si>
    <t>Value should slowly increase to OL.</t>
  </si>
  <si>
    <t>Part 3: Component Checks on Inverter</t>
  </si>
  <si>
    <t>DC Inverter Test 1</t>
  </si>
  <si>
    <t>- Black Lead to T1</t>
  </si>
  <si>
    <t>- Black Lead to T2</t>
  </si>
  <si>
    <t>- Black Lead to T3</t>
  </si>
  <si>
    <t>DC Inverter Test 2</t>
  </si>
  <si>
    <t>DC Inverter Test 3</t>
  </si>
  <si>
    <t>DC Inverter Test 4</t>
  </si>
  <si>
    <t>Part 4: DC Bus Checks</t>
  </si>
  <si>
    <t>DC Bus Check 1</t>
  </si>
  <si>
    <t>DC Bus Check 2</t>
  </si>
  <si>
    <t>&gt;1 Mega ohm</t>
  </si>
  <si>
    <t>DC Converter Test 1</t>
  </si>
  <si>
    <t>DC Converter Test 2</t>
  </si>
  <si>
    <t>DC Converter Test 3</t>
  </si>
  <si>
    <t>DC Converter Test 4</t>
  </si>
  <si>
    <t>Set meter to OHMS</t>
  </si>
  <si>
    <t>Set meter to VAC</t>
  </si>
  <si>
    <t>Set meter to VDC</t>
  </si>
  <si>
    <t>&gt; 1 Megaohm to OL</t>
  </si>
  <si>
    <t>+/- 0.25 VDC to 1.00 VDC</t>
  </si>
  <si>
    <t>DC Bus Check 3</t>
  </si>
  <si>
    <t>3 VDC to 0 VDC</t>
  </si>
  <si>
    <t>This test slowly charges the capacitor up to about 3 VDC.</t>
  </si>
  <si>
    <t>SPX9000 Drive from Fan 14</t>
  </si>
  <si>
    <t>+ Red Lead to POS. BUS TERM.</t>
  </si>
  <si>
    <t>+ Red Lead to NEG. BUS TERM.</t>
  </si>
  <si>
    <t>VFD TROUBLESHOOTING WITHOUT POWER</t>
  </si>
  <si>
    <t>Set meter to DIODE</t>
  </si>
  <si>
    <t>Control Transformer Size</t>
  </si>
  <si>
    <t>Secondary Amperes</t>
  </si>
  <si>
    <t>Average P - P Volts*1.414=</t>
  </si>
  <si>
    <t>You need a meter with diode testing capability, such as a Fluke 87.</t>
  </si>
  <si>
    <t xml:space="preserve">TURN THE POWER OFF. </t>
  </si>
  <si>
    <t>This test checks the voltage that DC Bus Check 1 left on the caps. You should expect it to be slowly dropping, eventually to zero.</t>
  </si>
  <si>
    <t>Lorn MacIlravie, Master Electrician</t>
  </si>
  <si>
    <t>Not a drive</t>
  </si>
  <si>
    <t>Fluke Amp Meter set on Inrush</t>
  </si>
  <si>
    <t>Measurements taken by Lorn MacIlravie. Meters: Fluke 87, AEMC PowerPad, Fluke Amp Clamp</t>
  </si>
  <si>
    <t xml:space="preserve">Not done. </t>
  </si>
  <si>
    <t>I need to verify the actual size.</t>
  </si>
  <si>
    <t xml:space="preserve">Double check my calculations. I'm not perfect. </t>
  </si>
  <si>
    <t>kA</t>
  </si>
  <si>
    <t>Stroke Length (Inches)</t>
  </si>
  <si>
    <t>Bore Diameter (Inches)</t>
  </si>
  <si>
    <t>http://www.risingedgeservices.com/index.html</t>
  </si>
  <si>
    <t>Desired PF</t>
  </si>
  <si>
    <t>Existing PF Corrected to 0.90</t>
  </si>
  <si>
    <t>Existing PF Corrected to 0.91</t>
  </si>
  <si>
    <t>Existing PF Corrected to 0.92</t>
  </si>
  <si>
    <t>Existing PF Corrected to 0.93</t>
  </si>
  <si>
    <t>Existing PF Corrected to 0.94</t>
  </si>
  <si>
    <t>Existing PF Corrected to 0.95</t>
  </si>
  <si>
    <t>Existing PF Corrected to 0.96</t>
  </si>
  <si>
    <t>Existing PF Corrected to 0.97</t>
  </si>
  <si>
    <t>Existing PF Corrected to 0.98</t>
  </si>
  <si>
    <t>Existing PF Corrected to 0.99</t>
  </si>
  <si>
    <t>Existing PF Corrected to 0.100</t>
  </si>
  <si>
    <t>kVAR of PF Capacitor required to change PF from "Existing PF" to "Desired PF"</t>
  </si>
  <si>
    <t>Table Value</t>
  </si>
  <si>
    <t>2 X 4/O</t>
  </si>
  <si>
    <t>4 X 250</t>
  </si>
  <si>
    <t>2 X 1000</t>
  </si>
  <si>
    <t>2 X 2000</t>
  </si>
  <si>
    <t>6 X 3/O</t>
  </si>
  <si>
    <t>4 X 500</t>
  </si>
  <si>
    <t>4 X 1000</t>
  </si>
  <si>
    <t>2 X 250</t>
  </si>
  <si>
    <t>3 X 350</t>
  </si>
  <si>
    <t>5 X 400</t>
  </si>
  <si>
    <t>5 X 800</t>
  </si>
  <si>
    <t>3 X 3/O</t>
  </si>
  <si>
    <t>5 X 4/O</t>
  </si>
  <si>
    <t>3 X 700</t>
  </si>
  <si>
    <t>6 X 700</t>
  </si>
  <si>
    <t>5 X 1/O</t>
  </si>
  <si>
    <t>2 X 600</t>
  </si>
  <si>
    <t>6 X 350</t>
  </si>
  <si>
    <t>3 X 1500</t>
  </si>
  <si>
    <t>4 X 2/O</t>
  </si>
  <si>
    <t>3 X 400</t>
  </si>
  <si>
    <t>3 X 750</t>
  </si>
  <si>
    <t>5 X 900</t>
  </si>
  <si>
    <t>4 X 300</t>
  </si>
  <si>
    <t>3 X 800</t>
  </si>
  <si>
    <t>6 X 750</t>
  </si>
  <si>
    <t>2 X 300</t>
  </si>
  <si>
    <t>4 X 600</t>
  </si>
  <si>
    <t>6 X 800</t>
  </si>
  <si>
    <t>6 X 1/O</t>
  </si>
  <si>
    <t>5 X 250</t>
  </si>
  <si>
    <t>6 X 400</t>
  </si>
  <si>
    <t>4 X 1250</t>
  </si>
  <si>
    <t>3 X 4/O</t>
  </si>
  <si>
    <t>6 X 4/O</t>
  </si>
  <si>
    <t>2 X 1250</t>
  </si>
  <si>
    <t>5 X 1000</t>
  </si>
  <si>
    <t>5 X 2/O</t>
  </si>
  <si>
    <t>2 X 700</t>
  </si>
  <si>
    <t>5 X 500</t>
  </si>
  <si>
    <t>3 X 1750</t>
  </si>
  <si>
    <t>4 X 3/O</t>
  </si>
  <si>
    <t>4 X 350</t>
  </si>
  <si>
    <t>3 X 900</t>
  </si>
  <si>
    <t>6 X 900</t>
  </si>
  <si>
    <t>4 X 700</t>
  </si>
  <si>
    <t>3 X 2000</t>
  </si>
  <si>
    <t>2 X 350</t>
  </si>
  <si>
    <t>2 X 750</t>
  </si>
  <si>
    <t>2 X 1500</t>
  </si>
  <si>
    <t>4 X 1500</t>
  </si>
  <si>
    <t>2 X 1/O</t>
  </si>
  <si>
    <t>3 X 500</t>
  </si>
  <si>
    <t>3 X 1000</t>
  </si>
  <si>
    <t>6 X 1000</t>
  </si>
  <si>
    <t>3 X 250</t>
  </si>
  <si>
    <t>5 X 300</t>
  </si>
  <si>
    <t>4 X 750</t>
  </si>
  <si>
    <t>5 X 1250</t>
  </si>
  <si>
    <t>6 X 2/O</t>
  </si>
  <si>
    <t>6 X 250</t>
  </si>
  <si>
    <t>5 X 600</t>
  </si>
  <si>
    <t>4 X 1750</t>
  </si>
  <si>
    <t>2 X 2/O</t>
  </si>
  <si>
    <t>2 X 800</t>
  </si>
  <si>
    <t>6 X 500</t>
  </si>
  <si>
    <t>5 X 1500</t>
  </si>
  <si>
    <t>2 X 400</t>
  </si>
  <si>
    <t>4 X 400</t>
  </si>
  <si>
    <t>4 X 800</t>
  </si>
  <si>
    <t>6 X 1250</t>
  </si>
  <si>
    <t>3 X 1/O</t>
  </si>
  <si>
    <t>5 X 3/O</t>
  </si>
  <si>
    <t>2 X 1750</t>
  </si>
  <si>
    <t>4 X 2000</t>
  </si>
  <si>
    <t>2 X 3/O</t>
  </si>
  <si>
    <t>4 X 4/O</t>
  </si>
  <si>
    <t>5 X 350</t>
  </si>
  <si>
    <t>5 X 700</t>
  </si>
  <si>
    <t>5 X 1750</t>
  </si>
  <si>
    <t>2 X 900</t>
  </si>
  <si>
    <t>4 X 900</t>
  </si>
  <si>
    <t>6 X 1500</t>
  </si>
  <si>
    <t>3 X 2/O</t>
  </si>
  <si>
    <t>3 X 300</t>
  </si>
  <si>
    <t>3 X 600</t>
  </si>
  <si>
    <t>6 X 600</t>
  </si>
  <si>
    <t>5 X 2000</t>
  </si>
  <si>
    <t>6 X 300</t>
  </si>
  <si>
    <t>3 X 1250</t>
  </si>
  <si>
    <t>6 X 1750</t>
  </si>
  <si>
    <t>4 X 1/O</t>
  </si>
  <si>
    <t>2 X 500</t>
  </si>
  <si>
    <t>5 X 750</t>
  </si>
  <si>
    <t>6 X 2000</t>
  </si>
  <si>
    <t>WIRE SIZES - PARALLEL RUNS - AMPACITY</t>
  </si>
  <si>
    <t>1X</t>
  </si>
  <si>
    <t>2X</t>
  </si>
  <si>
    <t>3X</t>
  </si>
  <si>
    <t>4X</t>
  </si>
  <si>
    <t>5X</t>
  </si>
  <si>
    <t>6X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</si>
</sst>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_(* \(#,##0.00\);_(* &quot;-&quot;??_);_(@_)"/>
    <numFmt numFmtId="164" formatCode="0.0"/>
    <numFmt numFmtId="165" formatCode="0.0%"/>
    <numFmt numFmtId="166" formatCode="0.0000"/>
    <numFmt numFmtId="167" formatCode="0.000"/>
    <numFmt numFmtId="168" formatCode="m/d/yy"/>
    <numFmt numFmtId="169" formatCode="m/d/yy\ h:mm"/>
    <numFmt numFmtId="170" formatCode="mm/dd/yy"/>
    <numFmt numFmtId="171" formatCode="#.00"/>
    <numFmt numFmtId="172" formatCode="0.000000"/>
    <numFmt numFmtId="173" formatCode="[$$-409]#,##0.00;[Red]\-[$$-409]#,##0.00"/>
    <numFmt numFmtId="174" formatCode="m/d/yyyy;@"/>
    <numFmt numFmtId="175" formatCode="[$-F800]dddd\,\ mmmm\ dd\,\ yyyy"/>
    <numFmt numFmtId="176" formatCode="_(* #,##0_);_(* \(#,##0\);_(* &quot;-&quot;??_);_(@_)"/>
    <numFmt numFmtId="177" formatCode="0.000%"/>
    <numFmt numFmtId="178" formatCode="#,##0.000"/>
    <numFmt numFmtId="179" formatCode="#,##0.000000"/>
    <numFmt numFmtId="180" formatCode="#,##0.000000000"/>
    <numFmt numFmtId="181" formatCode="#,##0.000000000000"/>
    <numFmt numFmtId="182" formatCode="m/d/yy\ h:mm;@"/>
  </numFmts>
  <fonts count="79">
    <font>
      <sz val="10"/>
      <name val="Arial"/>
      <family val="2"/>
    </font>
    <font>
      <sz val="10"/>
      <name val="Arial"/>
      <family val="2"/>
    </font>
    <font>
      <sz val="10"/>
      <name val="Mangal"/>
      <family val="2"/>
    </font>
    <font>
      <sz val="10"/>
      <name val="Wingdings"/>
      <charset val="2"/>
    </font>
    <font>
      <b/>
      <sz val="10"/>
      <name val="Arial"/>
      <family val="2"/>
    </font>
    <font>
      <sz val="10"/>
      <name val="Arial"/>
      <family val="2"/>
      <charset val="1"/>
    </font>
    <font>
      <sz val="10"/>
      <color indexed="8"/>
      <name val="Arial"/>
      <family val="2"/>
      <charset val="1"/>
    </font>
    <font>
      <b/>
      <sz val="10"/>
      <color indexed="8"/>
      <name val="Arial"/>
      <family val="2"/>
      <charset val="1"/>
    </font>
    <font>
      <b/>
      <sz val="10"/>
      <name val="Arial"/>
      <family val="2"/>
      <charset val="1"/>
    </font>
    <font>
      <sz val="10"/>
      <color indexed="60"/>
      <name val="Arial"/>
      <family val="2"/>
      <charset val="1"/>
    </font>
    <font>
      <b/>
      <i/>
      <sz val="10"/>
      <color indexed="8"/>
      <name val="Arial"/>
      <family val="2"/>
      <charset val="1"/>
    </font>
    <font>
      <sz val="8"/>
      <color indexed="8"/>
      <name val="Arial"/>
      <family val="2"/>
      <charset val="1"/>
    </font>
    <font>
      <b/>
      <sz val="8"/>
      <color indexed="8"/>
      <name val="Arial"/>
      <family val="2"/>
      <charset val="1"/>
    </font>
    <font>
      <sz val="9"/>
      <color indexed="8"/>
      <name val="Arial"/>
      <family val="2"/>
      <charset val="1"/>
    </font>
    <font>
      <b/>
      <sz val="12"/>
      <color indexed="8"/>
      <name val="Times New Roman"/>
      <family val="1"/>
      <charset val="1"/>
    </font>
    <font>
      <sz val="12"/>
      <color indexed="8"/>
      <name val="Times New Roman"/>
      <family val="1"/>
      <charset val="1"/>
    </font>
    <font>
      <b/>
      <sz val="11"/>
      <color indexed="8"/>
      <name val="Calibri"/>
      <family val="2"/>
      <charset val="1"/>
    </font>
    <font>
      <sz val="11"/>
      <color indexed="8"/>
      <name val="Calibri"/>
      <family val="2"/>
      <charset val="1"/>
    </font>
    <font>
      <sz val="11"/>
      <name val="Calibri"/>
      <family val="2"/>
      <charset val="1"/>
    </font>
    <font>
      <sz val="10"/>
      <color indexed="23"/>
      <name val="Arial"/>
      <family val="2"/>
      <charset val="1"/>
    </font>
    <font>
      <sz val="9"/>
      <color indexed="8"/>
      <name val="Arial"/>
      <family val="2"/>
    </font>
    <font>
      <b/>
      <sz val="12"/>
      <color indexed="8"/>
      <name val="Arial"/>
      <family val="2"/>
      <charset val="1"/>
    </font>
    <font>
      <b/>
      <sz val="12"/>
      <name val="Arial"/>
      <family val="1"/>
      <charset val="1"/>
    </font>
    <font>
      <sz val="12"/>
      <name val="Arial"/>
      <family val="1"/>
      <charset val="1"/>
    </font>
    <font>
      <b/>
      <sz val="10"/>
      <color indexed="8"/>
      <name val="Arial"/>
      <family val="2"/>
    </font>
    <font>
      <sz val="12"/>
      <name val="Times New Roman"/>
      <family val="1"/>
      <charset val="1"/>
    </font>
    <font>
      <sz val="10"/>
      <name val="Arial"/>
      <family val="2"/>
    </font>
    <font>
      <b/>
      <sz val="10"/>
      <name val="Times New Roman"/>
      <family val="1"/>
    </font>
    <font>
      <sz val="10"/>
      <name val="Times New Roman"/>
      <family val="1"/>
    </font>
    <font>
      <sz val="10"/>
      <color indexed="8"/>
      <name val="Arial"/>
      <family val="2"/>
    </font>
    <font>
      <sz val="10"/>
      <color indexed="63"/>
      <name val="Arial"/>
      <family val="2"/>
      <charset val="1"/>
    </font>
    <font>
      <sz val="10"/>
      <color indexed="60"/>
      <name val="Arial"/>
      <family val="2"/>
    </font>
    <font>
      <b/>
      <sz val="8"/>
      <color indexed="8"/>
      <name val="Arial"/>
      <family val="2"/>
    </font>
    <font>
      <sz val="8"/>
      <name val="Arial"/>
      <family val="2"/>
      <charset val="1"/>
    </font>
    <font>
      <b/>
      <sz val="8"/>
      <name val="Arial"/>
      <family val="2"/>
      <charset val="1"/>
    </font>
    <font>
      <b/>
      <sz val="9"/>
      <color indexed="8"/>
      <name val="Arial"/>
      <family val="2"/>
    </font>
    <font>
      <b/>
      <sz val="8"/>
      <color indexed="8"/>
      <name val="Arial;Arial"/>
      <family val="2"/>
    </font>
    <font>
      <b/>
      <sz val="11"/>
      <color theme="1"/>
      <name val="Calibri"/>
      <family val="2"/>
      <scheme val="minor"/>
    </font>
    <font>
      <sz val="10"/>
      <name val="Calibri"/>
      <family val="2"/>
      <scheme val="minor"/>
    </font>
    <font>
      <b/>
      <sz val="10"/>
      <name val="Calibri"/>
      <family val="2"/>
      <scheme val="minor"/>
    </font>
    <font>
      <sz val="10"/>
      <color theme="0" tint="-0.34998626667073579"/>
      <name val="Arial"/>
      <family val="2"/>
      <charset val="1"/>
    </font>
    <font>
      <b/>
      <sz val="10"/>
      <color theme="0" tint="-0.34998626667073579"/>
      <name val="Arial"/>
      <family val="2"/>
      <charset val="1"/>
    </font>
    <font>
      <sz val="10"/>
      <color theme="1"/>
      <name val="Arial"/>
      <family val="2"/>
    </font>
    <font>
      <i/>
      <sz val="10"/>
      <name val="Arial"/>
      <family val="2"/>
    </font>
    <font>
      <b/>
      <i/>
      <sz val="10"/>
      <name val="Arial"/>
      <family val="2"/>
    </font>
    <font>
      <b/>
      <sz val="9"/>
      <color indexed="81"/>
      <name val="Tahoma"/>
      <family val="2"/>
    </font>
    <font>
      <sz val="9"/>
      <color indexed="81"/>
      <name val="Tahoma"/>
      <family val="2"/>
    </font>
    <font>
      <b/>
      <sz val="14"/>
      <color theme="1"/>
      <name val="Calibri"/>
      <family val="2"/>
      <scheme val="minor"/>
    </font>
    <font>
      <i/>
      <sz val="11"/>
      <color theme="1"/>
      <name val="Calibri"/>
      <family val="2"/>
      <scheme val="minor"/>
    </font>
    <font>
      <b/>
      <i/>
      <sz val="11"/>
      <color theme="1"/>
      <name val="Calibri"/>
      <family val="2"/>
      <scheme val="minor"/>
    </font>
    <font>
      <b/>
      <sz val="11"/>
      <color theme="1"/>
      <name val="Times New Roman"/>
      <family val="1"/>
    </font>
    <font>
      <sz val="11"/>
      <color theme="1"/>
      <name val="Times New Roman"/>
      <family val="1"/>
    </font>
    <font>
      <b/>
      <vertAlign val="superscript"/>
      <sz val="10"/>
      <name val="Arial"/>
      <family val="2"/>
    </font>
    <font>
      <b/>
      <sz val="10"/>
      <color theme="1"/>
      <name val="Arial"/>
      <family val="2"/>
    </font>
    <font>
      <sz val="10"/>
      <color rgb="FFFF0000"/>
      <name val="Arial"/>
      <family val="2"/>
    </font>
    <font>
      <sz val="8"/>
      <color indexed="8"/>
      <name val="Arial"/>
      <family val="2"/>
    </font>
    <font>
      <b/>
      <sz val="8"/>
      <name val="Arial"/>
      <family val="2"/>
    </font>
    <font>
      <sz val="8"/>
      <name val="Arial"/>
      <family val="2"/>
    </font>
    <font>
      <vertAlign val="superscript"/>
      <sz val="8"/>
      <name val="Arial"/>
      <family val="2"/>
    </font>
    <font>
      <sz val="8"/>
      <color theme="1"/>
      <name val="Arial"/>
      <family val="2"/>
    </font>
    <font>
      <vertAlign val="superscript"/>
      <sz val="10"/>
      <color indexed="8"/>
      <name val="Arial"/>
      <family val="2"/>
    </font>
    <font>
      <b/>
      <sz val="12"/>
      <name val="Times New Roman"/>
      <family val="1"/>
    </font>
    <font>
      <b/>
      <sz val="10"/>
      <color rgb="FFFF0000"/>
      <name val="Arial"/>
      <family val="2"/>
    </font>
    <font>
      <sz val="10"/>
      <color theme="0" tint="-0.249977111117893"/>
      <name val="Times New Roman"/>
      <family val="1"/>
    </font>
    <font>
      <sz val="10"/>
      <color theme="0"/>
      <name val="Times New Roman"/>
      <family val="1"/>
    </font>
    <font>
      <sz val="10"/>
      <color theme="0"/>
      <name val="Arial"/>
      <family val="2"/>
    </font>
    <font>
      <b/>
      <sz val="10"/>
      <color theme="1"/>
      <name val="Times New Roman"/>
      <family val="1"/>
    </font>
    <font>
      <b/>
      <sz val="10"/>
      <color rgb="FFFF0000"/>
      <name val="Times New Roman"/>
      <family val="1"/>
    </font>
    <font>
      <sz val="10"/>
      <color theme="1"/>
      <name val="Times New Roman"/>
      <family val="1"/>
    </font>
    <font>
      <sz val="12"/>
      <name val="Times New Roman"/>
      <family val="1"/>
    </font>
    <font>
      <b/>
      <sz val="10"/>
      <color indexed="8"/>
      <name val="Times New Roman"/>
      <family val="1"/>
    </font>
    <font>
      <sz val="10"/>
      <color indexed="8"/>
      <name val="Times New Roman"/>
      <family val="1"/>
    </font>
    <font>
      <sz val="10"/>
      <color theme="0" tint="-0.499984740745262"/>
      <name val="Times New Roman"/>
      <family val="1"/>
    </font>
    <font>
      <sz val="10"/>
      <color indexed="55"/>
      <name val="Times New Roman"/>
      <family val="1"/>
    </font>
    <font>
      <b/>
      <sz val="11"/>
      <name val="Calibri"/>
      <family val="2"/>
      <scheme val="minor"/>
    </font>
    <font>
      <b/>
      <sz val="11"/>
      <color indexed="8"/>
      <name val="Calibri"/>
      <family val="2"/>
    </font>
    <font>
      <sz val="11"/>
      <color indexed="8"/>
      <name val="Calibri"/>
      <family val="2"/>
    </font>
    <font>
      <sz val="11"/>
      <color indexed="9"/>
      <name val="Calibri"/>
      <family val="2"/>
    </font>
    <font>
      <sz val="11"/>
      <name val="Calibri"/>
      <family val="2"/>
    </font>
  </fonts>
  <fills count="45">
    <fill>
      <patternFill patternType="none"/>
    </fill>
    <fill>
      <patternFill patternType="gray125"/>
    </fill>
    <fill>
      <patternFill patternType="solid">
        <fgColor indexed="10"/>
        <bgColor indexed="53"/>
      </patternFill>
    </fill>
    <fill>
      <patternFill patternType="solid">
        <fgColor indexed="57"/>
        <bgColor indexed="11"/>
      </patternFill>
    </fill>
    <fill>
      <patternFill patternType="solid">
        <fgColor indexed="29"/>
        <bgColor indexed="45"/>
      </patternFill>
    </fill>
    <fill>
      <patternFill patternType="solid">
        <fgColor indexed="52"/>
        <bgColor indexed="51"/>
      </patternFill>
    </fill>
    <fill>
      <patternFill patternType="solid">
        <fgColor indexed="13"/>
        <bgColor indexed="34"/>
      </patternFill>
    </fill>
    <fill>
      <patternFill patternType="solid">
        <fgColor indexed="11"/>
        <bgColor indexed="57"/>
      </patternFill>
    </fill>
    <fill>
      <patternFill patternType="solid">
        <fgColor indexed="22"/>
        <bgColor indexed="31"/>
      </patternFill>
    </fill>
    <fill>
      <patternFill patternType="solid">
        <fgColor indexed="31"/>
        <bgColor indexed="22"/>
      </patternFill>
    </fill>
    <fill>
      <patternFill patternType="solid">
        <fgColor indexed="47"/>
        <bgColor indexed="41"/>
      </patternFill>
    </fill>
    <fill>
      <patternFill patternType="solid">
        <fgColor indexed="44"/>
        <bgColor indexed="31"/>
      </patternFill>
    </fill>
    <fill>
      <patternFill patternType="solid">
        <fgColor indexed="45"/>
        <bgColor indexed="29"/>
      </patternFill>
    </fill>
    <fill>
      <patternFill patternType="solid">
        <fgColor indexed="27"/>
        <bgColor indexed="42"/>
      </patternFill>
    </fill>
    <fill>
      <patternFill patternType="solid">
        <fgColor indexed="43"/>
        <bgColor indexed="34"/>
      </patternFill>
    </fill>
    <fill>
      <patternFill patternType="solid">
        <fgColor indexed="42"/>
        <bgColor indexed="27"/>
      </patternFill>
    </fill>
    <fill>
      <patternFill patternType="solid">
        <fgColor indexed="26"/>
        <bgColor indexed="9"/>
      </patternFill>
    </fill>
    <fill>
      <patternFill patternType="solid">
        <fgColor indexed="8"/>
        <bgColor indexed="58"/>
      </patternFill>
    </fill>
    <fill>
      <patternFill patternType="solid">
        <fgColor indexed="49"/>
        <bgColor indexed="15"/>
      </patternFill>
    </fill>
    <fill>
      <patternFill patternType="solid">
        <fgColor indexed="41"/>
        <bgColor indexed="31"/>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34"/>
      </patternFill>
    </fill>
    <fill>
      <patternFill patternType="solid">
        <fgColor theme="9"/>
        <bgColor indexed="64"/>
      </patternFill>
    </fill>
    <fill>
      <patternFill patternType="solid">
        <fgColor theme="0" tint="-4.9989318521683403E-2"/>
        <bgColor indexed="64"/>
      </patternFill>
    </fill>
    <fill>
      <patternFill patternType="solid">
        <fgColor rgb="FFFFFF00"/>
        <bgColor indexed="26"/>
      </patternFill>
    </fill>
    <fill>
      <patternFill patternType="solid">
        <fgColor theme="9" tint="0.79998168889431442"/>
        <bgColor indexed="64"/>
      </patternFill>
    </fill>
    <fill>
      <patternFill patternType="solid">
        <fgColor theme="4" tint="0.79998168889431442"/>
        <bgColor indexed="64"/>
      </patternFill>
    </fill>
    <fill>
      <patternFill patternType="solid">
        <fgColor indexed="9"/>
        <bgColor indexed="26"/>
      </patternFill>
    </fill>
    <fill>
      <patternFill patternType="solid">
        <fgColor theme="0" tint="-4.9989318521683403E-2"/>
        <bgColor indexed="26"/>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C000"/>
        <bgColor indexed="64"/>
      </patternFill>
    </fill>
    <fill>
      <patternFill patternType="solid">
        <fgColor rgb="FFFFFF00"/>
        <bgColor indexed="13"/>
      </patternFill>
    </fill>
    <fill>
      <patternFill patternType="solid">
        <fgColor theme="8" tint="0.79998168889431442"/>
        <bgColor indexed="34"/>
      </patternFill>
    </fill>
    <fill>
      <patternFill patternType="solid">
        <fgColor theme="7" tint="0.79998168889431442"/>
        <bgColor indexed="64"/>
      </patternFill>
    </fill>
    <fill>
      <patternFill patternType="solid">
        <fgColor rgb="FF7030A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9" tint="0.39997558519241921"/>
        <bgColor indexed="34"/>
      </patternFill>
    </fill>
    <fill>
      <patternFill patternType="solid">
        <fgColor theme="0" tint="-0.249977111117893"/>
        <bgColor indexed="34"/>
      </patternFill>
    </fill>
  </fills>
  <borders count="51">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bottom/>
      <diagonal/>
    </border>
    <border>
      <left/>
      <right/>
      <top style="thin">
        <color indexed="8"/>
      </top>
      <bottom style="thin">
        <color indexed="8"/>
      </bottom>
      <diagonal/>
    </border>
    <border>
      <left/>
      <right style="thin">
        <color indexed="8"/>
      </right>
      <top/>
      <bottom/>
      <diagonal/>
    </border>
    <border>
      <left/>
      <right/>
      <top style="thin">
        <color indexed="8"/>
      </top>
      <bottom/>
      <diagonal/>
    </border>
    <border>
      <left/>
      <right style="thin">
        <color indexed="8"/>
      </right>
      <top/>
      <bottom style="thin">
        <color indexed="8"/>
      </bottom>
      <diagonal/>
    </border>
    <border>
      <left style="thin">
        <color indexed="8"/>
      </left>
      <right style="thin">
        <color indexed="8"/>
      </right>
      <top style="thin">
        <color indexed="8"/>
      </top>
      <bottom style="medium">
        <color indexed="8"/>
      </bottom>
      <diagonal/>
    </border>
    <border>
      <left style="thin">
        <color indexed="8"/>
      </left>
      <right/>
      <top/>
      <bottom style="medium">
        <color indexed="8"/>
      </bottom>
      <diagonal/>
    </border>
    <border>
      <left/>
      <right/>
      <top/>
      <bottom style="medium">
        <color indexed="8"/>
      </bottom>
      <diagonal/>
    </border>
    <border>
      <left/>
      <right style="medium">
        <color indexed="8"/>
      </right>
      <top/>
      <bottom/>
      <diagonal/>
    </border>
    <border>
      <left style="thin">
        <color indexed="8"/>
      </left>
      <right style="medium">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style="hair">
        <color indexed="8"/>
      </left>
      <right style="hair">
        <color indexed="8"/>
      </right>
      <top style="hair">
        <color indexed="8"/>
      </top>
      <bottom style="hair">
        <color indexed="8"/>
      </bottom>
      <diagonal/>
    </border>
    <border>
      <left style="medium">
        <color indexed="8"/>
      </left>
      <right style="thin">
        <color indexed="8"/>
      </right>
      <top style="medium">
        <color indexed="8"/>
      </top>
      <bottom style="thin">
        <color indexed="8"/>
      </bottom>
      <diagonal/>
    </border>
    <border>
      <left/>
      <right/>
      <top style="medium">
        <color indexed="8"/>
      </top>
      <bottom/>
      <diagonal/>
    </border>
    <border>
      <left style="thin">
        <color indexed="8"/>
      </left>
      <right style="thin">
        <color indexed="8"/>
      </right>
      <top style="medium">
        <color indexed="8"/>
      </top>
      <bottom style="thin">
        <color indexed="8"/>
      </bottom>
      <diagonal/>
    </border>
    <border>
      <left/>
      <right style="medium">
        <color indexed="8"/>
      </right>
      <top style="medium">
        <color indexed="8"/>
      </top>
      <bottom/>
      <diagonal/>
    </border>
    <border>
      <left style="medium">
        <color indexed="8"/>
      </left>
      <right/>
      <top/>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hair">
        <color indexed="8"/>
      </left>
      <right style="hair">
        <color indexed="8"/>
      </right>
      <top style="hair">
        <color indexed="8"/>
      </top>
      <bottom/>
      <diagonal/>
    </border>
    <border>
      <left style="thin">
        <color indexed="8"/>
      </left>
      <right/>
      <top style="thin">
        <color indexed="8"/>
      </top>
      <bottom style="thin">
        <color indexed="8"/>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medium">
        <color indexed="8"/>
      </top>
      <bottom style="medium">
        <color indexed="8"/>
      </bottom>
      <diagonal/>
    </border>
    <border>
      <left style="medium">
        <color indexed="8"/>
      </left>
      <right style="medium">
        <color indexed="8"/>
      </right>
      <top/>
      <bottom style="medium">
        <color indexed="64"/>
      </bottom>
      <diagonal/>
    </border>
    <border>
      <left style="hair">
        <color indexed="8"/>
      </left>
      <right style="hair">
        <color indexed="8"/>
      </right>
      <top style="medium">
        <color indexed="8"/>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43">
    <xf numFmtId="0" fontId="0" fillId="0" borderId="0"/>
    <xf numFmtId="43" fontId="1" fillId="0" borderId="0" applyFill="0" applyBorder="0" applyAlignment="0" applyProtection="0"/>
    <xf numFmtId="0" fontId="5" fillId="0" borderId="0"/>
    <xf numFmtId="0" fontId="26" fillId="2" borderId="0" applyNumberFormat="0" applyBorder="0" applyAlignment="0" applyProtection="0"/>
    <xf numFmtId="9" fontId="26" fillId="0" borderId="0" applyFill="0" applyBorder="0" applyAlignment="0" applyProtection="0"/>
    <xf numFmtId="0" fontId="2" fillId="2" borderId="0" applyNumberFormat="0" applyBorder="0" applyAlignment="0" applyProtection="0"/>
    <xf numFmtId="0" fontId="2" fillId="2" borderId="0" applyNumberFormat="0" applyBorder="0" applyAlignment="0" applyProtection="0"/>
    <xf numFmtId="0" fontId="26" fillId="3" borderId="0" applyNumberFormat="0" applyBorder="0" applyAlignment="0" applyProtection="0"/>
    <xf numFmtId="0" fontId="3" fillId="0" borderId="0" applyNumberFormat="0" applyFill="0" applyBorder="0" applyAlignment="0" applyProtection="0"/>
    <xf numFmtId="0" fontId="26"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26" fillId="3" borderId="0" applyNumberFormat="0" applyBorder="0" applyAlignment="0" applyProtection="0"/>
    <xf numFmtId="0" fontId="3" fillId="0" borderId="0" applyNumberFormat="0" applyFill="0" applyBorder="0" applyAlignment="0" applyProtection="0"/>
    <xf numFmtId="0" fontId="26" fillId="3" borderId="0" applyNumberFormat="0" applyBorder="0" applyAlignment="0" applyProtection="0"/>
    <xf numFmtId="0" fontId="3" fillId="3" borderId="0" applyNumberFormat="0" applyBorder="0" applyAlignment="0" applyProtection="0"/>
    <xf numFmtId="0" fontId="2" fillId="4"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26" fillId="3" borderId="0" applyNumberFormat="0" applyBorder="0" applyAlignment="0" applyProtection="0"/>
    <xf numFmtId="0" fontId="26" fillId="0" borderId="0" applyNumberFormat="0" applyFill="0" applyBorder="0" applyAlignment="0" applyProtection="0"/>
    <xf numFmtId="0" fontId="26" fillId="5" borderId="0" applyNumberFormat="0" applyBorder="0" applyAlignment="0" applyProtection="0"/>
    <xf numFmtId="0" fontId="26" fillId="5" borderId="0" applyNumberFormat="0" applyBorder="0" applyAlignment="0" applyProtection="0"/>
    <xf numFmtId="0" fontId="3" fillId="3" borderId="0" applyNumberFormat="0" applyBorder="0" applyAlignment="0" applyProtection="0"/>
    <xf numFmtId="0" fontId="2" fillId="2" borderId="0" applyNumberFormat="0" applyBorder="0" applyAlignment="0" applyProtection="0"/>
    <xf numFmtId="0" fontId="26" fillId="3" borderId="0" applyNumberFormat="0" applyBorder="0" applyAlignment="0" applyProtection="0"/>
    <xf numFmtId="0" fontId="3" fillId="3" borderId="0" applyNumberFormat="0" applyBorder="0" applyAlignment="0" applyProtection="0"/>
    <xf numFmtId="0" fontId="3" fillId="0" borderId="0" applyNumberFormat="0" applyFill="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5" fillId="0" borderId="0"/>
  </cellStyleXfs>
  <cellXfs count="1321">
    <xf numFmtId="0" fontId="0" fillId="0" borderId="0" xfId="0"/>
    <xf numFmtId="0" fontId="4" fillId="0" borderId="0" xfId="0" applyFont="1"/>
    <xf numFmtId="0" fontId="0" fillId="0" borderId="0" xfId="0" applyFont="1"/>
    <xf numFmtId="0" fontId="5" fillId="0" borderId="0" xfId="2" applyFont="1"/>
    <xf numFmtId="0" fontId="6" fillId="0" borderId="0" xfId="2" applyFont="1" applyBorder="1" applyAlignment="1">
      <alignment wrapText="1"/>
    </xf>
    <xf numFmtId="0" fontId="6" fillId="0" borderId="3" xfId="2" applyFont="1" applyBorder="1" applyAlignment="1">
      <alignment wrapText="1"/>
    </xf>
    <xf numFmtId="0" fontId="6" fillId="0" borderId="4" xfId="2" applyFont="1" applyBorder="1" applyAlignment="1">
      <alignment wrapText="1"/>
    </xf>
    <xf numFmtId="0" fontId="6" fillId="0" borderId="7" xfId="2" applyFont="1" applyBorder="1" applyAlignment="1">
      <alignment wrapText="1"/>
    </xf>
    <xf numFmtId="0" fontId="7" fillId="0" borderId="0" xfId="2" applyFont="1" applyBorder="1" applyAlignment="1">
      <alignment horizontal="left"/>
    </xf>
    <xf numFmtId="0" fontId="6" fillId="6" borderId="2" xfId="2" applyFont="1" applyFill="1" applyBorder="1" applyAlignment="1" applyProtection="1">
      <alignment horizontal="center"/>
      <protection locked="0"/>
    </xf>
    <xf numFmtId="9" fontId="6" fillId="6" borderId="2" xfId="2" applyNumberFormat="1" applyFont="1" applyFill="1" applyBorder="1" applyAlignment="1" applyProtection="1">
      <alignment horizontal="center"/>
      <protection locked="0"/>
    </xf>
    <xf numFmtId="0" fontId="7" fillId="6" borderId="2" xfId="2" applyFont="1" applyFill="1" applyBorder="1" applyAlignment="1" applyProtection="1">
      <alignment horizontal="center"/>
      <protection locked="0"/>
    </xf>
    <xf numFmtId="0" fontId="6" fillId="0" borderId="2" xfId="2" applyFont="1" applyBorder="1" applyAlignment="1">
      <alignment horizontal="center"/>
    </xf>
    <xf numFmtId="1" fontId="6" fillId="0" borderId="2" xfId="2" applyNumberFormat="1" applyFont="1" applyBorder="1" applyAlignment="1">
      <alignment horizontal="center"/>
    </xf>
    <xf numFmtId="2" fontId="7" fillId="0" borderId="2" xfId="2" applyNumberFormat="1" applyFont="1" applyBorder="1" applyAlignment="1">
      <alignment horizontal="center"/>
    </xf>
    <xf numFmtId="0" fontId="6" fillId="0" borderId="1" xfId="2" applyFont="1" applyBorder="1" applyAlignment="1">
      <alignment horizontal="center"/>
    </xf>
    <xf numFmtId="0" fontId="8" fillId="0" borderId="0" xfId="2" applyFont="1" applyProtection="1"/>
    <xf numFmtId="0" fontId="5" fillId="0" borderId="0" xfId="2" applyFont="1" applyProtection="1"/>
    <xf numFmtId="0" fontId="5" fillId="0" borderId="0" xfId="0" applyFont="1" applyProtection="1"/>
    <xf numFmtId="0" fontId="8" fillId="0" borderId="0" xfId="0" applyFont="1" applyProtection="1"/>
    <xf numFmtId="0" fontId="5" fillId="0" borderId="0" xfId="2" applyFont="1" applyFill="1" applyProtection="1"/>
    <xf numFmtId="0" fontId="0" fillId="0" borderId="0" xfId="0" applyProtection="1"/>
    <xf numFmtId="0" fontId="7" fillId="0" borderId="0" xfId="2" applyFont="1" applyBorder="1" applyAlignment="1" applyProtection="1">
      <alignment horizontal="left" vertical="center"/>
    </xf>
    <xf numFmtId="0" fontId="7" fillId="0" borderId="0" xfId="2" applyFont="1" applyBorder="1" applyAlignment="1" applyProtection="1">
      <alignment horizontal="center" vertical="center"/>
    </xf>
    <xf numFmtId="0" fontId="6" fillId="0" borderId="1" xfId="2" applyFont="1" applyBorder="1" applyAlignment="1" applyProtection="1">
      <alignment wrapText="1"/>
    </xf>
    <xf numFmtId="0" fontId="6" fillId="0" borderId="0" xfId="2" applyFont="1" applyBorder="1" applyAlignment="1" applyProtection="1">
      <alignment wrapText="1"/>
    </xf>
    <xf numFmtId="0" fontId="6" fillId="6" borderId="2" xfId="2" applyFont="1" applyFill="1" applyBorder="1" applyAlignment="1" applyProtection="1">
      <alignment horizontal="center" vertical="center"/>
      <protection locked="0"/>
    </xf>
    <xf numFmtId="0" fontId="7" fillId="0" borderId="4" xfId="2" applyFont="1" applyBorder="1" applyAlignment="1" applyProtection="1">
      <alignment horizontal="left"/>
    </xf>
    <xf numFmtId="0" fontId="6" fillId="0" borderId="0" xfId="2" applyFont="1" applyBorder="1" applyAlignment="1" applyProtection="1">
      <alignment horizontal="left"/>
    </xf>
    <xf numFmtId="0" fontId="6" fillId="0" borderId="7" xfId="2" applyFont="1" applyBorder="1" applyAlignment="1" applyProtection="1">
      <alignment wrapText="1"/>
    </xf>
    <xf numFmtId="165" fontId="7" fillId="7" borderId="0" xfId="2" applyNumberFormat="1" applyFont="1" applyFill="1" applyBorder="1" applyAlignment="1" applyProtection="1">
      <alignment horizontal="center" vertical="center"/>
    </xf>
    <xf numFmtId="0" fontId="7" fillId="7" borderId="0" xfId="2" applyFont="1" applyFill="1" applyBorder="1" applyAlignment="1" applyProtection="1">
      <alignment horizontal="left"/>
    </xf>
    <xf numFmtId="0" fontId="6" fillId="7" borderId="0" xfId="2" applyFont="1" applyFill="1" applyBorder="1" applyAlignment="1" applyProtection="1">
      <alignment horizontal="left"/>
    </xf>
    <xf numFmtId="164" fontId="6" fillId="7" borderId="0" xfId="2" applyNumberFormat="1" applyFont="1" applyFill="1" applyBorder="1" applyAlignment="1" applyProtection="1">
      <alignment horizontal="center" vertical="center"/>
    </xf>
    <xf numFmtId="0" fontId="9" fillId="7" borderId="0" xfId="2" applyFont="1" applyFill="1" applyBorder="1" applyAlignment="1" applyProtection="1">
      <alignment horizontal="center" vertical="center"/>
    </xf>
    <xf numFmtId="165" fontId="7" fillId="8" borderId="0" xfId="2" applyNumberFormat="1" applyFont="1" applyFill="1" applyBorder="1" applyAlignment="1" applyProtection="1">
      <alignment horizontal="center" vertical="center"/>
    </xf>
    <xf numFmtId="0" fontId="7" fillId="8" borderId="0" xfId="2" applyFont="1" applyFill="1" applyBorder="1" applyAlignment="1" applyProtection="1">
      <alignment horizontal="left"/>
    </xf>
    <xf numFmtId="0" fontId="6" fillId="8" borderId="0" xfId="2" applyFont="1" applyFill="1" applyBorder="1" applyAlignment="1" applyProtection="1">
      <alignment horizontal="left"/>
    </xf>
    <xf numFmtId="164" fontId="6" fillId="8" borderId="0" xfId="2" applyNumberFormat="1" applyFont="1" applyFill="1" applyBorder="1" applyAlignment="1" applyProtection="1">
      <alignment horizontal="center" vertical="center"/>
    </xf>
    <xf numFmtId="0" fontId="9" fillId="8" borderId="0" xfId="2" applyFont="1" applyFill="1" applyBorder="1" applyAlignment="1" applyProtection="1">
      <alignment horizontal="center" vertical="center"/>
    </xf>
    <xf numFmtId="0" fontId="6" fillId="0" borderId="0" xfId="2" applyFont="1" applyBorder="1" applyAlignment="1" applyProtection="1">
      <alignment horizontal="left" vertical="center"/>
    </xf>
    <xf numFmtId="49" fontId="6" fillId="0" borderId="0" xfId="2" applyNumberFormat="1" applyFont="1" applyBorder="1" applyAlignment="1" applyProtection="1">
      <alignment horizontal="left" vertical="center"/>
    </xf>
    <xf numFmtId="0" fontId="6" fillId="6" borderId="2" xfId="2" applyFont="1" applyFill="1" applyBorder="1" applyAlignment="1" applyProtection="1">
      <alignment horizontal="right"/>
      <protection locked="0"/>
    </xf>
    <xf numFmtId="1" fontId="6" fillId="6" borderId="2" xfId="2" applyNumberFormat="1" applyFont="1" applyFill="1" applyBorder="1" applyAlignment="1" applyProtection="1">
      <alignment horizontal="right"/>
      <protection locked="0"/>
    </xf>
    <xf numFmtId="0" fontId="7" fillId="6" borderId="9" xfId="2" applyFont="1" applyFill="1" applyBorder="1" applyAlignment="1" applyProtection="1">
      <alignment horizontal="center"/>
      <protection locked="0"/>
    </xf>
    <xf numFmtId="9" fontId="6" fillId="6" borderId="2" xfId="2" applyNumberFormat="1" applyFont="1" applyFill="1" applyBorder="1" applyAlignment="1" applyProtection="1">
      <alignment horizontal="right"/>
      <protection locked="0"/>
    </xf>
    <xf numFmtId="0" fontId="7" fillId="0" borderId="0" xfId="2" applyFont="1" applyBorder="1" applyAlignment="1" applyProtection="1">
      <alignment horizontal="left"/>
    </xf>
    <xf numFmtId="0" fontId="6" fillId="0" borderId="4" xfId="2" applyFont="1" applyBorder="1" applyAlignment="1" applyProtection="1">
      <alignment horizontal="left"/>
    </xf>
    <xf numFmtId="0" fontId="6" fillId="0" borderId="5" xfId="2" applyFont="1" applyBorder="1" applyAlignment="1" applyProtection="1">
      <alignment wrapText="1"/>
    </xf>
    <xf numFmtId="0" fontId="6" fillId="14" borderId="14" xfId="2" applyFont="1" applyFill="1" applyBorder="1" applyAlignment="1" applyProtection="1">
      <alignment horizontal="right"/>
    </xf>
    <xf numFmtId="49" fontId="6" fillId="14" borderId="7" xfId="2" applyNumberFormat="1" applyFont="1" applyFill="1" applyBorder="1" applyAlignment="1" applyProtection="1">
      <alignment horizontal="center"/>
    </xf>
    <xf numFmtId="49" fontId="6" fillId="14" borderId="7" xfId="2" applyNumberFormat="1" applyFont="1" applyFill="1" applyBorder="1" applyAlignment="1" applyProtection="1">
      <alignment horizontal="center" vertical="center"/>
    </xf>
    <xf numFmtId="2" fontId="7" fillId="14" borderId="7" xfId="2" applyNumberFormat="1" applyFont="1" applyFill="1" applyBorder="1" applyAlignment="1" applyProtection="1">
      <alignment horizontal="right"/>
    </xf>
    <xf numFmtId="0" fontId="6" fillId="14" borderId="15" xfId="2" applyFont="1" applyFill="1" applyBorder="1" applyAlignment="1" applyProtection="1">
      <alignment horizontal="left"/>
    </xf>
    <xf numFmtId="0" fontId="6" fillId="0" borderId="3" xfId="2" applyFont="1" applyBorder="1" applyAlignment="1" applyProtection="1">
      <alignment wrapText="1"/>
    </xf>
    <xf numFmtId="0" fontId="6" fillId="10" borderId="14" xfId="2" applyFont="1" applyFill="1" applyBorder="1" applyAlignment="1" applyProtection="1">
      <alignment horizontal="right"/>
    </xf>
    <xf numFmtId="49" fontId="6" fillId="10" borderId="7" xfId="2" applyNumberFormat="1" applyFont="1" applyFill="1" applyBorder="1" applyAlignment="1" applyProtection="1">
      <alignment horizontal="center"/>
    </xf>
    <xf numFmtId="49" fontId="6" fillId="10" borderId="7" xfId="2" applyNumberFormat="1" applyFont="1" applyFill="1" applyBorder="1" applyAlignment="1" applyProtection="1">
      <alignment horizontal="center" vertical="center"/>
    </xf>
    <xf numFmtId="2" fontId="7" fillId="10" borderId="7" xfId="2" applyNumberFormat="1" applyFont="1" applyFill="1" applyBorder="1" applyAlignment="1" applyProtection="1">
      <alignment horizontal="right"/>
    </xf>
    <xf numFmtId="0" fontId="6" fillId="10" borderId="15" xfId="2" applyFont="1" applyFill="1" applyBorder="1" applyAlignment="1" applyProtection="1">
      <alignment horizontal="left"/>
    </xf>
    <xf numFmtId="0" fontId="6" fillId="14" borderId="4" xfId="2" applyFont="1" applyFill="1" applyBorder="1" applyAlignment="1" applyProtection="1">
      <alignment horizontal="right" vertical="center"/>
    </xf>
    <xf numFmtId="49" fontId="6" fillId="14" borderId="0" xfId="2" applyNumberFormat="1" applyFont="1" applyFill="1" applyBorder="1" applyAlignment="1" applyProtection="1">
      <alignment horizontal="center" vertical="center"/>
    </xf>
    <xf numFmtId="2" fontId="7" fillId="14" borderId="0" xfId="2" applyNumberFormat="1" applyFont="1" applyFill="1" applyBorder="1" applyAlignment="1" applyProtection="1">
      <alignment horizontal="center" vertical="center"/>
    </xf>
    <xf numFmtId="0" fontId="6" fillId="14" borderId="6" xfId="2" applyFont="1" applyFill="1" applyBorder="1" applyAlignment="1" applyProtection="1">
      <alignment horizontal="center" vertical="center"/>
    </xf>
    <xf numFmtId="0" fontId="6" fillId="10" borderId="4" xfId="2" applyFont="1" applyFill="1" applyBorder="1" applyAlignment="1" applyProtection="1">
      <alignment horizontal="right" vertical="center"/>
    </xf>
    <xf numFmtId="49" fontId="6" fillId="10" borderId="0" xfId="2" applyNumberFormat="1" applyFont="1" applyFill="1" applyBorder="1" applyAlignment="1" applyProtection="1">
      <alignment horizontal="center" vertical="center"/>
    </xf>
    <xf numFmtId="2" fontId="7" fillId="10" borderId="0" xfId="2" applyNumberFormat="1" applyFont="1" applyFill="1" applyBorder="1" applyAlignment="1" applyProtection="1">
      <alignment horizontal="center" vertical="center"/>
    </xf>
    <xf numFmtId="0" fontId="6" fillId="10" borderId="6" xfId="2" applyFont="1" applyFill="1" applyBorder="1" applyAlignment="1" applyProtection="1">
      <alignment horizontal="center" vertical="center"/>
    </xf>
    <xf numFmtId="0" fontId="6" fillId="14" borderId="16" xfId="2" applyFont="1" applyFill="1" applyBorder="1" applyAlignment="1" applyProtection="1">
      <alignment horizontal="right"/>
    </xf>
    <xf numFmtId="49" fontId="6" fillId="14" borderId="1" xfId="2" applyNumberFormat="1" applyFont="1" applyFill="1" applyBorder="1" applyAlignment="1" applyProtection="1">
      <alignment horizontal="center"/>
    </xf>
    <xf numFmtId="49" fontId="6" fillId="14" borderId="1" xfId="2" applyNumberFormat="1" applyFont="1" applyFill="1" applyBorder="1" applyAlignment="1" applyProtection="1">
      <alignment horizontal="center" vertical="center"/>
    </xf>
    <xf numFmtId="2" fontId="7" fillId="14" borderId="1" xfId="2" applyNumberFormat="1" applyFont="1" applyFill="1" applyBorder="1" applyAlignment="1" applyProtection="1">
      <alignment horizontal="right"/>
    </xf>
    <xf numFmtId="0" fontId="6" fillId="14" borderId="8" xfId="2" applyFont="1" applyFill="1" applyBorder="1" applyAlignment="1" applyProtection="1">
      <alignment horizontal="left"/>
    </xf>
    <xf numFmtId="0" fontId="6" fillId="10" borderId="16" xfId="2" applyFont="1" applyFill="1" applyBorder="1" applyAlignment="1" applyProtection="1">
      <alignment horizontal="right"/>
    </xf>
    <xf numFmtId="49" fontId="6" fillId="10" borderId="1" xfId="2" applyNumberFormat="1" applyFont="1" applyFill="1" applyBorder="1" applyAlignment="1" applyProtection="1">
      <alignment horizontal="center"/>
    </xf>
    <xf numFmtId="49" fontId="6" fillId="10" borderId="1" xfId="2" applyNumberFormat="1" applyFont="1" applyFill="1" applyBorder="1" applyAlignment="1" applyProtection="1">
      <alignment horizontal="center" vertical="center"/>
    </xf>
    <xf numFmtId="2" fontId="7" fillId="10" borderId="1" xfId="2" applyNumberFormat="1" applyFont="1" applyFill="1" applyBorder="1" applyAlignment="1" applyProtection="1">
      <alignment horizontal="right"/>
    </xf>
    <xf numFmtId="0" fontId="6" fillId="10" borderId="8" xfId="2" applyFont="1" applyFill="1" applyBorder="1" applyAlignment="1" applyProtection="1">
      <alignment horizontal="left"/>
    </xf>
    <xf numFmtId="0" fontId="6" fillId="15" borderId="14" xfId="2" applyFont="1" applyFill="1" applyBorder="1" applyAlignment="1" applyProtection="1">
      <alignment horizontal="right"/>
    </xf>
    <xf numFmtId="49" fontId="6" fillId="15" borderId="7" xfId="2" applyNumberFormat="1" applyFont="1" applyFill="1" applyBorder="1" applyAlignment="1" applyProtection="1">
      <alignment horizontal="center"/>
    </xf>
    <xf numFmtId="49" fontId="6" fillId="15" borderId="7" xfId="2" applyNumberFormat="1" applyFont="1" applyFill="1" applyBorder="1" applyAlignment="1" applyProtection="1">
      <alignment horizontal="center" vertical="center"/>
    </xf>
    <xf numFmtId="2" fontId="7" fillId="15" borderId="7" xfId="2" applyNumberFormat="1" applyFont="1" applyFill="1" applyBorder="1" applyAlignment="1" applyProtection="1">
      <alignment horizontal="right"/>
    </xf>
    <xf numFmtId="0" fontId="6" fillId="15" borderId="15" xfId="2" applyFont="1" applyFill="1" applyBorder="1" applyAlignment="1" applyProtection="1">
      <alignment horizontal="left"/>
    </xf>
    <xf numFmtId="0" fontId="6" fillId="11" borderId="14" xfId="2" applyFont="1" applyFill="1" applyBorder="1" applyAlignment="1" applyProtection="1">
      <alignment horizontal="right"/>
    </xf>
    <xf numFmtId="49" fontId="6" fillId="11" borderId="7" xfId="2" applyNumberFormat="1" applyFont="1" applyFill="1" applyBorder="1" applyAlignment="1" applyProtection="1">
      <alignment horizontal="center"/>
    </xf>
    <xf numFmtId="49" fontId="6" fillId="11" borderId="7" xfId="2" applyNumberFormat="1" applyFont="1" applyFill="1" applyBorder="1" applyAlignment="1" applyProtection="1">
      <alignment horizontal="center" vertical="center"/>
    </xf>
    <xf numFmtId="2" fontId="7" fillId="11" borderId="7" xfId="2" applyNumberFormat="1" applyFont="1" applyFill="1" applyBorder="1" applyAlignment="1" applyProtection="1">
      <alignment horizontal="right"/>
    </xf>
    <xf numFmtId="0" fontId="6" fillId="11" borderId="15" xfId="2" applyFont="1" applyFill="1" applyBorder="1" applyAlignment="1" applyProtection="1">
      <alignment horizontal="left"/>
    </xf>
    <xf numFmtId="0" fontId="6" fillId="15" borderId="4" xfId="2" applyFont="1" applyFill="1" applyBorder="1" applyAlignment="1" applyProtection="1">
      <alignment horizontal="right" vertical="center"/>
    </xf>
    <xf numFmtId="49" fontId="6" fillId="15" borderId="1" xfId="2" applyNumberFormat="1" applyFont="1" applyFill="1" applyBorder="1" applyAlignment="1" applyProtection="1">
      <alignment horizontal="center"/>
    </xf>
    <xf numFmtId="49" fontId="6" fillId="15" borderId="0" xfId="2" applyNumberFormat="1" applyFont="1" applyFill="1" applyBorder="1" applyAlignment="1" applyProtection="1">
      <alignment horizontal="center" vertical="center"/>
    </xf>
    <xf numFmtId="2" fontId="7" fillId="15" borderId="0" xfId="2" applyNumberFormat="1" applyFont="1" applyFill="1" applyBorder="1" applyAlignment="1" applyProtection="1">
      <alignment horizontal="center" vertical="center"/>
    </xf>
    <xf numFmtId="0" fontId="6" fillId="15" borderId="6" xfId="2" applyFont="1" applyFill="1" applyBorder="1" applyAlignment="1" applyProtection="1">
      <alignment horizontal="center" vertical="center"/>
    </xf>
    <xf numFmtId="0" fontId="6" fillId="11" borderId="4" xfId="2" applyFont="1" applyFill="1" applyBorder="1" applyAlignment="1" applyProtection="1">
      <alignment horizontal="right" vertical="center"/>
    </xf>
    <xf numFmtId="49" fontId="6" fillId="11" borderId="1" xfId="2" applyNumberFormat="1" applyFont="1" applyFill="1" applyBorder="1" applyAlignment="1" applyProtection="1">
      <alignment horizontal="center"/>
    </xf>
    <xf numFmtId="49" fontId="6" fillId="11" borderId="0" xfId="2" applyNumberFormat="1" applyFont="1" applyFill="1" applyBorder="1" applyAlignment="1" applyProtection="1">
      <alignment horizontal="center" vertical="center"/>
    </xf>
    <xf numFmtId="2" fontId="7" fillId="11" borderId="0" xfId="2" applyNumberFormat="1" applyFont="1" applyFill="1" applyBorder="1" applyAlignment="1" applyProtection="1">
      <alignment horizontal="center" vertical="center"/>
    </xf>
    <xf numFmtId="0" fontId="6" fillId="11" borderId="6" xfId="2" applyFont="1" applyFill="1" applyBorder="1" applyAlignment="1" applyProtection="1">
      <alignment horizontal="center" vertical="center"/>
    </xf>
    <xf numFmtId="0" fontId="6" fillId="15" borderId="16" xfId="2" applyFont="1" applyFill="1" applyBorder="1" applyAlignment="1" applyProtection="1">
      <alignment horizontal="right"/>
    </xf>
    <xf numFmtId="49" fontId="6" fillId="15" borderId="1" xfId="2" applyNumberFormat="1" applyFont="1" applyFill="1" applyBorder="1" applyAlignment="1" applyProtection="1">
      <alignment horizontal="center" vertical="center"/>
    </xf>
    <xf numFmtId="2" fontId="7" fillId="15" borderId="1" xfId="2" applyNumberFormat="1" applyFont="1" applyFill="1" applyBorder="1" applyAlignment="1" applyProtection="1">
      <alignment horizontal="right"/>
    </xf>
    <xf numFmtId="0" fontId="6" fillId="15" borderId="8" xfId="2" applyFont="1" applyFill="1" applyBorder="1" applyAlignment="1" applyProtection="1">
      <alignment horizontal="left"/>
    </xf>
    <xf numFmtId="0" fontId="6" fillId="11" borderId="16" xfId="2" applyFont="1" applyFill="1" applyBorder="1" applyAlignment="1" applyProtection="1">
      <alignment horizontal="right"/>
    </xf>
    <xf numFmtId="49" fontId="6" fillId="11" borderId="1" xfId="2" applyNumberFormat="1" applyFont="1" applyFill="1" applyBorder="1" applyAlignment="1" applyProtection="1">
      <alignment horizontal="center" vertical="center"/>
    </xf>
    <xf numFmtId="2" fontId="7" fillId="11" borderId="1" xfId="2" applyNumberFormat="1" applyFont="1" applyFill="1" applyBorder="1" applyAlignment="1" applyProtection="1">
      <alignment horizontal="right"/>
    </xf>
    <xf numFmtId="0" fontId="6" fillId="11" borderId="8" xfId="2" applyFont="1" applyFill="1" applyBorder="1" applyAlignment="1" applyProtection="1">
      <alignment horizontal="left"/>
    </xf>
    <xf numFmtId="0" fontId="6" fillId="15" borderId="7" xfId="2" applyFont="1" applyFill="1" applyBorder="1" applyAlignment="1" applyProtection="1">
      <alignment horizontal="center" vertical="center"/>
    </xf>
    <xf numFmtId="0" fontId="6" fillId="0" borderId="0" xfId="2" applyFont="1" applyFill="1" applyBorder="1" applyAlignment="1" applyProtection="1">
      <alignment wrapText="1"/>
    </xf>
    <xf numFmtId="0" fontId="5" fillId="0" borderId="0" xfId="0" applyFont="1" applyFill="1" applyProtection="1"/>
    <xf numFmtId="0" fontId="6" fillId="0" borderId="0" xfId="2" applyFont="1" applyBorder="1" applyAlignment="1" applyProtection="1">
      <alignment vertical="center"/>
    </xf>
    <xf numFmtId="0" fontId="5" fillId="0" borderId="0" xfId="2"/>
    <xf numFmtId="0" fontId="11" fillId="6" borderId="2" xfId="2" applyFont="1" applyFill="1" applyBorder="1" applyAlignment="1" applyProtection="1">
      <alignment horizontal="center"/>
      <protection locked="0"/>
    </xf>
    <xf numFmtId="0" fontId="7" fillId="0" borderId="7" xfId="2" applyFont="1" applyBorder="1" applyAlignment="1" applyProtection="1">
      <alignment horizontal="center"/>
    </xf>
    <xf numFmtId="10" fontId="7" fillId="0" borderId="7" xfId="2" applyNumberFormat="1" applyFont="1" applyBorder="1" applyAlignment="1" applyProtection="1">
      <alignment horizontal="center"/>
    </xf>
    <xf numFmtId="1" fontId="7" fillId="0" borderId="7" xfId="2" applyNumberFormat="1" applyFont="1" applyBorder="1" applyAlignment="1" applyProtection="1">
      <alignment horizontal="center"/>
    </xf>
    <xf numFmtId="49" fontId="7" fillId="0" borderId="7" xfId="2" applyNumberFormat="1" applyFont="1" applyBorder="1" applyAlignment="1" applyProtection="1">
      <alignment horizontal="center"/>
    </xf>
    <xf numFmtId="49" fontId="7" fillId="0" borderId="1" xfId="2" applyNumberFormat="1" applyFont="1" applyBorder="1" applyAlignment="1" applyProtection="1">
      <alignment horizontal="center"/>
    </xf>
    <xf numFmtId="0" fontId="7" fillId="0" borderId="1" xfId="2" applyFont="1" applyBorder="1" applyAlignment="1" applyProtection="1">
      <alignment horizontal="center"/>
    </xf>
    <xf numFmtId="10" fontId="7" fillId="0" borderId="1" xfId="2" applyNumberFormat="1" applyFont="1" applyBorder="1" applyAlignment="1" applyProtection="1">
      <alignment horizontal="center"/>
    </xf>
    <xf numFmtId="1" fontId="7" fillId="0" borderId="1" xfId="2" applyNumberFormat="1" applyFont="1" applyBorder="1" applyAlignment="1" applyProtection="1">
      <alignment horizontal="center"/>
    </xf>
    <xf numFmtId="0" fontId="6" fillId="0" borderId="2" xfId="2" applyFont="1" applyFill="1" applyBorder="1" applyAlignment="1" applyProtection="1">
      <alignment horizontal="center"/>
    </xf>
    <xf numFmtId="1" fontId="6" fillId="0" borderId="2" xfId="2" applyNumberFormat="1" applyFont="1" applyFill="1" applyBorder="1" applyAlignment="1" applyProtection="1">
      <alignment horizontal="center"/>
    </xf>
    <xf numFmtId="0" fontId="6" fillId="0" borderId="7" xfId="2" applyFont="1" applyFill="1" applyBorder="1" applyAlignment="1" applyProtection="1">
      <alignment wrapText="1"/>
    </xf>
    <xf numFmtId="164" fontId="6" fillId="0" borderId="2" xfId="2" applyNumberFormat="1" applyFont="1" applyFill="1" applyBorder="1" applyAlignment="1" applyProtection="1">
      <alignment horizontal="center"/>
    </xf>
    <xf numFmtId="10" fontId="6" fillId="0" borderId="2" xfId="2" applyNumberFormat="1" applyFont="1" applyFill="1" applyBorder="1" applyAlignment="1" applyProtection="1">
      <alignment horizontal="center"/>
    </xf>
    <xf numFmtId="0" fontId="6" fillId="0" borderId="2" xfId="2" applyFont="1" applyFill="1" applyBorder="1" applyAlignment="1" applyProtection="1">
      <alignment horizontal="left"/>
    </xf>
    <xf numFmtId="0" fontId="7" fillId="0" borderId="0" xfId="2" applyFont="1" applyFill="1" applyBorder="1" applyAlignment="1" applyProtection="1">
      <alignment horizontal="center"/>
    </xf>
    <xf numFmtId="0" fontId="7" fillId="0" borderId="1" xfId="2" applyFont="1" applyFill="1" applyBorder="1" applyAlignment="1" applyProtection="1">
      <alignment horizontal="center" vertical="center"/>
    </xf>
    <xf numFmtId="0" fontId="7" fillId="0" borderId="1" xfId="2" applyFont="1" applyFill="1" applyBorder="1" applyAlignment="1" applyProtection="1">
      <alignment horizontal="center"/>
    </xf>
    <xf numFmtId="0" fontId="6" fillId="0" borderId="6" xfId="2" applyFont="1" applyFill="1" applyBorder="1" applyAlignment="1" applyProtection="1">
      <alignment wrapText="1"/>
    </xf>
    <xf numFmtId="0" fontId="6" fillId="0" borderId="2" xfId="2" applyFont="1" applyFill="1" applyBorder="1" applyAlignment="1" applyProtection="1">
      <alignment horizontal="center" vertical="center"/>
    </xf>
    <xf numFmtId="0" fontId="6" fillId="0" borderId="4" xfId="2" applyFont="1" applyFill="1" applyBorder="1" applyAlignment="1" applyProtection="1">
      <alignment wrapText="1"/>
    </xf>
    <xf numFmtId="2" fontId="6" fillId="0" borderId="2" xfId="2" applyNumberFormat="1" applyFont="1" applyFill="1" applyBorder="1" applyAlignment="1" applyProtection="1">
      <alignment horizontal="center"/>
    </xf>
    <xf numFmtId="0" fontId="6" fillId="0" borderId="16" xfId="2" applyFont="1" applyFill="1" applyBorder="1" applyAlignment="1" applyProtection="1">
      <alignment horizontal="center"/>
    </xf>
    <xf numFmtId="0" fontId="6" fillId="0" borderId="1" xfId="2" applyFont="1" applyFill="1" applyBorder="1" applyAlignment="1" applyProtection="1">
      <alignment horizontal="center"/>
    </xf>
    <xf numFmtId="17" fontId="6" fillId="0" borderId="2" xfId="2" applyNumberFormat="1" applyFont="1" applyFill="1" applyBorder="1" applyAlignment="1" applyProtection="1">
      <alignment horizontal="center" vertical="center"/>
    </xf>
    <xf numFmtId="0" fontId="0" fillId="0" borderId="0" xfId="0" applyFill="1" applyProtection="1"/>
    <xf numFmtId="0" fontId="6" fillId="0" borderId="4" xfId="2" applyFont="1" applyBorder="1" applyAlignment="1" applyProtection="1">
      <alignment wrapText="1"/>
    </xf>
    <xf numFmtId="0" fontId="5" fillId="0" borderId="0" xfId="2" applyBorder="1"/>
    <xf numFmtId="0" fontId="6" fillId="0" borderId="0" xfId="2" applyFont="1" applyBorder="1" applyAlignment="1">
      <alignment horizontal="center" vertical="center" wrapText="1"/>
    </xf>
    <xf numFmtId="0" fontId="13" fillId="0" borderId="0" xfId="2" applyFont="1" applyBorder="1" applyAlignment="1">
      <alignment horizontal="center" vertical="center" wrapText="1"/>
    </xf>
    <xf numFmtId="0" fontId="6" fillId="12" borderId="0" xfId="2" applyFont="1" applyFill="1" applyBorder="1" applyAlignment="1">
      <alignment horizontal="center"/>
    </xf>
    <xf numFmtId="2" fontId="6" fillId="12" borderId="0" xfId="2" applyNumberFormat="1" applyFont="1" applyFill="1" applyBorder="1" applyAlignment="1">
      <alignment horizontal="center"/>
    </xf>
    <xf numFmtId="1" fontId="6" fillId="7" borderId="1" xfId="2" applyNumberFormat="1" applyFont="1" applyFill="1" applyBorder="1" applyAlignment="1">
      <alignment horizontal="center"/>
    </xf>
    <xf numFmtId="164" fontId="6" fillId="7" borderId="1" xfId="2" applyNumberFormat="1" applyFont="1" applyFill="1" applyBorder="1" applyAlignment="1">
      <alignment horizontal="center"/>
    </xf>
    <xf numFmtId="0" fontId="6" fillId="7" borderId="0" xfId="2" applyFont="1" applyFill="1" applyBorder="1" applyAlignment="1">
      <alignment horizontal="center"/>
    </xf>
    <xf numFmtId="2" fontId="6" fillId="0" borderId="2" xfId="2" applyNumberFormat="1" applyFont="1" applyBorder="1" applyAlignment="1">
      <alignment horizontal="center"/>
    </xf>
    <xf numFmtId="2" fontId="6" fillId="0" borderId="1" xfId="2" applyNumberFormat="1" applyFont="1" applyBorder="1" applyAlignment="1">
      <alignment horizontal="center"/>
    </xf>
    <xf numFmtId="49" fontId="6" fillId="0" borderId="2" xfId="2" applyNumberFormat="1" applyFont="1" applyBorder="1" applyAlignment="1">
      <alignment horizontal="center"/>
    </xf>
    <xf numFmtId="0" fontId="14" fillId="0" borderId="2" xfId="2" applyFont="1" applyBorder="1" applyAlignment="1">
      <alignment horizontal="left"/>
    </xf>
    <xf numFmtId="0" fontId="14" fillId="0" borderId="2" xfId="2" applyFont="1" applyBorder="1" applyAlignment="1">
      <alignment horizontal="center" vertical="center"/>
    </xf>
    <xf numFmtId="0" fontId="14" fillId="8" borderId="2" xfId="2" applyFont="1" applyFill="1" applyBorder="1" applyAlignment="1">
      <alignment horizontal="center" vertical="center"/>
    </xf>
    <xf numFmtId="0" fontId="15" fillId="0" borderId="2" xfId="2" applyFont="1" applyBorder="1" applyAlignment="1">
      <alignment horizontal="left"/>
    </xf>
    <xf numFmtId="0" fontId="15" fillId="0" borderId="2" xfId="2" applyFont="1" applyBorder="1" applyAlignment="1">
      <alignment horizontal="center" vertical="center"/>
    </xf>
    <xf numFmtId="0" fontId="15" fillId="8" borderId="2" xfId="2" applyFont="1" applyFill="1" applyBorder="1" applyAlignment="1">
      <alignment horizontal="center" vertical="center"/>
    </xf>
    <xf numFmtId="0" fontId="15" fillId="0" borderId="2" xfId="2" applyFont="1" applyBorder="1" applyAlignment="1">
      <alignment horizontal="center"/>
    </xf>
    <xf numFmtId="164" fontId="15" fillId="8" borderId="2" xfId="2" applyNumberFormat="1" applyFont="1" applyFill="1" applyBorder="1" applyAlignment="1">
      <alignment horizontal="center" vertical="center"/>
    </xf>
    <xf numFmtId="164" fontId="15" fillId="0" borderId="2" xfId="2" applyNumberFormat="1" applyFont="1" applyBorder="1" applyAlignment="1">
      <alignment horizontal="center" vertical="center"/>
    </xf>
    <xf numFmtId="0" fontId="15" fillId="0" borderId="2" xfId="2" applyFont="1" applyBorder="1" applyAlignment="1">
      <alignment horizontal="left" vertical="center"/>
    </xf>
    <xf numFmtId="164" fontId="15" fillId="8" borderId="2" xfId="2" applyNumberFormat="1" applyFont="1" applyFill="1" applyBorder="1" applyAlignment="1">
      <alignment horizontal="center"/>
    </xf>
    <xf numFmtId="164" fontId="15" fillId="0" borderId="2" xfId="2" applyNumberFormat="1" applyFont="1" applyBorder="1" applyAlignment="1">
      <alignment horizontal="center"/>
    </xf>
    <xf numFmtId="0" fontId="15" fillId="8" borderId="2" xfId="2" applyFont="1" applyFill="1" applyBorder="1" applyAlignment="1">
      <alignment horizontal="center"/>
    </xf>
    <xf numFmtId="1" fontId="14" fillId="0" borderId="2" xfId="2" applyNumberFormat="1" applyFont="1" applyBorder="1" applyAlignment="1">
      <alignment horizontal="left"/>
    </xf>
    <xf numFmtId="1" fontId="14" fillId="0" borderId="2" xfId="2" applyNumberFormat="1" applyFont="1" applyBorder="1" applyAlignment="1">
      <alignment horizontal="right"/>
    </xf>
    <xf numFmtId="164" fontId="14" fillId="0" borderId="2" xfId="2" applyNumberFormat="1" applyFont="1" applyBorder="1" applyAlignment="1">
      <alignment horizontal="right"/>
    </xf>
    <xf numFmtId="0" fontId="15" fillId="0" borderId="0" xfId="2" applyFont="1" applyBorder="1" applyAlignment="1">
      <alignment horizontal="center" vertical="center"/>
    </xf>
    <xf numFmtId="0" fontId="0" fillId="0" borderId="0" xfId="0" applyAlignment="1" applyProtection="1">
      <alignment horizontal="center"/>
    </xf>
    <xf numFmtId="0" fontId="5" fillId="0" borderId="0" xfId="2" applyProtection="1"/>
    <xf numFmtId="0" fontId="16" fillId="0" borderId="0" xfId="2" applyFont="1" applyProtection="1"/>
    <xf numFmtId="2" fontId="16" fillId="0" borderId="2" xfId="2" applyNumberFormat="1" applyFont="1" applyBorder="1" applyProtection="1"/>
    <xf numFmtId="0" fontId="17" fillId="0" borderId="0" xfId="2" applyFont="1" applyProtection="1"/>
    <xf numFmtId="0" fontId="16" fillId="0" borderId="2" xfId="2" applyFont="1" applyBorder="1" applyAlignment="1" applyProtection="1">
      <alignment horizontal="center"/>
    </xf>
    <xf numFmtId="0" fontId="16" fillId="0" borderId="2" xfId="2" applyFont="1" applyBorder="1" applyProtection="1"/>
    <xf numFmtId="2" fontId="5" fillId="0" borderId="2" xfId="2" applyNumberFormat="1" applyBorder="1" applyProtection="1"/>
    <xf numFmtId="2" fontId="5" fillId="0" borderId="0" xfId="2" applyNumberFormat="1" applyProtection="1"/>
    <xf numFmtId="0" fontId="18" fillId="0" borderId="0" xfId="2" applyFont="1" applyProtection="1"/>
    <xf numFmtId="2" fontId="5" fillId="0" borderId="2" xfId="2" applyNumberFormat="1" applyFill="1" applyBorder="1" applyProtection="1"/>
    <xf numFmtId="2" fontId="5" fillId="0" borderId="0" xfId="2" applyNumberFormat="1" applyFill="1" applyBorder="1" applyProtection="1"/>
    <xf numFmtId="0" fontId="15" fillId="0" borderId="0" xfId="2" applyFont="1" applyAlignment="1" applyProtection="1"/>
    <xf numFmtId="0" fontId="6" fillId="0" borderId="0" xfId="0" applyFont="1" applyProtection="1"/>
    <xf numFmtId="0" fontId="7" fillId="0" borderId="0" xfId="0" applyFont="1" applyProtection="1"/>
    <xf numFmtId="0" fontId="19" fillId="0" borderId="0" xfId="0" applyFont="1" applyProtection="1"/>
    <xf numFmtId="1" fontId="7" fillId="0" borderId="0" xfId="0" applyNumberFormat="1" applyFont="1" applyProtection="1"/>
    <xf numFmtId="0" fontId="6" fillId="0" borderId="0" xfId="0" applyFont="1" applyFill="1" applyProtection="1"/>
    <xf numFmtId="0" fontId="0" fillId="0" borderId="0" xfId="0" applyFont="1" applyFill="1" applyProtection="1"/>
    <xf numFmtId="2" fontId="0" fillId="0" borderId="2" xfId="0" applyNumberFormat="1" applyFill="1" applyBorder="1" applyProtection="1"/>
    <xf numFmtId="1" fontId="0" fillId="0" borderId="2" xfId="0" applyNumberFormat="1" applyFill="1" applyBorder="1" applyProtection="1"/>
    <xf numFmtId="0" fontId="0" fillId="0" borderId="11" xfId="0" applyFont="1" applyBorder="1" applyAlignment="1" applyProtection="1">
      <alignment horizontal="center"/>
    </xf>
    <xf numFmtId="0" fontId="0" fillId="0" borderId="0" xfId="0" applyFont="1" applyAlignment="1" applyProtection="1">
      <alignment horizontal="center"/>
    </xf>
    <xf numFmtId="0" fontId="7" fillId="0" borderId="0" xfId="0" applyNumberFormat="1" applyFont="1" applyBorder="1" applyAlignment="1" applyProtection="1">
      <alignment horizontal="left"/>
    </xf>
    <xf numFmtId="1" fontId="6" fillId="0" borderId="0" xfId="0" applyNumberFormat="1" applyFont="1" applyBorder="1" applyAlignment="1" applyProtection="1">
      <alignment wrapText="1"/>
    </xf>
    <xf numFmtId="0" fontId="6" fillId="6" borderId="17" xfId="0" applyNumberFormat="1" applyFont="1" applyFill="1" applyBorder="1" applyAlignment="1" applyProtection="1">
      <alignment horizontal="right"/>
      <protection locked="0"/>
    </xf>
    <xf numFmtId="0" fontId="6" fillId="0" borderId="0" xfId="0" applyNumberFormat="1" applyFont="1" applyBorder="1" applyAlignment="1" applyProtection="1">
      <alignment horizontal="left"/>
    </xf>
    <xf numFmtId="171" fontId="7" fillId="0" borderId="0" xfId="0" applyNumberFormat="1" applyFont="1" applyBorder="1" applyAlignment="1" applyProtection="1">
      <alignment horizontal="right"/>
    </xf>
    <xf numFmtId="1" fontId="7" fillId="0" borderId="0" xfId="0" applyNumberFormat="1" applyFont="1" applyBorder="1" applyAlignment="1" applyProtection="1">
      <alignment horizontal="left"/>
    </xf>
    <xf numFmtId="2" fontId="7" fillId="0" borderId="0" xfId="0" applyNumberFormat="1" applyFont="1" applyBorder="1" applyAlignment="1" applyProtection="1">
      <alignment horizontal="right"/>
    </xf>
    <xf numFmtId="172" fontId="6" fillId="0" borderId="0" xfId="0" applyNumberFormat="1" applyFont="1" applyBorder="1" applyAlignment="1" applyProtection="1">
      <alignment wrapText="1"/>
    </xf>
    <xf numFmtId="2" fontId="7" fillId="0" borderId="0" xfId="0" applyNumberFormat="1" applyFont="1" applyBorder="1" applyAlignment="1" applyProtection="1">
      <alignment wrapText="1"/>
    </xf>
    <xf numFmtId="1" fontId="7" fillId="0" borderId="0" xfId="0" applyNumberFormat="1" applyFont="1" applyBorder="1" applyAlignment="1" applyProtection="1">
      <alignment wrapText="1"/>
    </xf>
    <xf numFmtId="2" fontId="6" fillId="0" borderId="0" xfId="0" applyNumberFormat="1" applyFont="1" applyBorder="1" applyAlignment="1" applyProtection="1">
      <alignment horizontal="right"/>
    </xf>
    <xf numFmtId="2" fontId="6" fillId="0" borderId="0" xfId="0" applyNumberFormat="1" applyFont="1" applyBorder="1" applyAlignment="1" applyProtection="1">
      <alignment wrapText="1"/>
    </xf>
    <xf numFmtId="2" fontId="6" fillId="6" borderId="17" xfId="0" applyNumberFormat="1" applyFont="1" applyFill="1" applyBorder="1" applyAlignment="1" applyProtection="1">
      <alignment wrapText="1"/>
      <protection locked="0"/>
    </xf>
    <xf numFmtId="2" fontId="7" fillId="0" borderId="17" xfId="0" applyNumberFormat="1" applyFont="1" applyBorder="1" applyAlignment="1" applyProtection="1">
      <alignment wrapText="1"/>
    </xf>
    <xf numFmtId="1" fontId="7" fillId="0" borderId="17" xfId="0" applyNumberFormat="1" applyFont="1" applyBorder="1" applyAlignment="1" applyProtection="1">
      <alignment horizontal="center" wrapText="1"/>
    </xf>
    <xf numFmtId="0" fontId="6" fillId="0" borderId="17" xfId="0" applyNumberFormat="1" applyFont="1" applyBorder="1" applyAlignment="1" applyProtection="1">
      <alignment horizontal="center" vertical="center"/>
    </xf>
    <xf numFmtId="167" fontId="6" fillId="0" borderId="17" xfId="0" applyNumberFormat="1" applyFont="1" applyBorder="1" applyAlignment="1" applyProtection="1">
      <alignment horizontal="center" vertical="center"/>
    </xf>
    <xf numFmtId="2" fontId="6" fillId="6" borderId="17" xfId="0" applyNumberFormat="1" applyFont="1" applyFill="1" applyBorder="1" applyAlignment="1" applyProtection="1">
      <alignment vertical="center"/>
      <protection locked="0"/>
    </xf>
    <xf numFmtId="0" fontId="6" fillId="0" borderId="0" xfId="0" applyNumberFormat="1" applyFont="1" applyAlignment="1" applyProtection="1">
      <alignment vertical="center"/>
    </xf>
    <xf numFmtId="2" fontId="6" fillId="0" borderId="17" xfId="0" applyNumberFormat="1" applyFont="1" applyFill="1" applyBorder="1" applyAlignment="1" applyProtection="1">
      <alignment vertical="center"/>
    </xf>
    <xf numFmtId="2" fontId="7" fillId="0" borderId="17" xfId="0" applyNumberFormat="1" applyFont="1" applyFill="1" applyBorder="1" applyAlignment="1" applyProtection="1">
      <alignment vertical="center"/>
    </xf>
    <xf numFmtId="2" fontId="7" fillId="0" borderId="17" xfId="0" applyNumberFormat="1" applyFont="1" applyBorder="1" applyAlignment="1" applyProtection="1">
      <alignment vertical="center"/>
    </xf>
    <xf numFmtId="0" fontId="7" fillId="0" borderId="0" xfId="0" applyNumberFormat="1" applyFont="1" applyAlignment="1" applyProtection="1">
      <alignment vertical="center"/>
    </xf>
    <xf numFmtId="167" fontId="6" fillId="6" borderId="17" xfId="0" applyNumberFormat="1" applyFont="1" applyFill="1" applyBorder="1" applyAlignment="1" applyProtection="1">
      <alignment vertical="center"/>
      <protection locked="0"/>
    </xf>
    <xf numFmtId="0" fontId="6" fillId="6" borderId="17" xfId="0" applyNumberFormat="1" applyFont="1" applyFill="1" applyBorder="1" applyAlignment="1" applyProtection="1">
      <alignment vertical="center"/>
      <protection locked="0"/>
    </xf>
    <xf numFmtId="2" fontId="6" fillId="0" borderId="17" xfId="0" applyNumberFormat="1" applyFont="1" applyBorder="1" applyAlignment="1" applyProtection="1">
      <alignment vertical="center"/>
    </xf>
    <xf numFmtId="0" fontId="0" fillId="0" borderId="0" xfId="0" applyFill="1"/>
    <xf numFmtId="0" fontId="23" fillId="0" borderId="0" xfId="0" applyFont="1" applyAlignment="1">
      <alignment horizontal="center"/>
    </xf>
    <xf numFmtId="0" fontId="23" fillId="0" borderId="0" xfId="0" applyFont="1"/>
    <xf numFmtId="0" fontId="5" fillId="6" borderId="2" xfId="2" applyFont="1" applyFill="1" applyBorder="1" applyAlignment="1" applyProtection="1">
      <alignment horizontal="right"/>
      <protection locked="0"/>
    </xf>
    <xf numFmtId="0" fontId="8" fillId="6" borderId="18" xfId="2" applyFont="1" applyFill="1" applyBorder="1" applyAlignment="1" applyProtection="1">
      <alignment horizontal="center"/>
      <protection locked="0"/>
    </xf>
    <xf numFmtId="0" fontId="8" fillId="6" borderId="20" xfId="2" applyFont="1" applyFill="1" applyBorder="1" applyAlignment="1" applyProtection="1">
      <alignment horizontal="center"/>
      <protection locked="0"/>
    </xf>
    <xf numFmtId="9" fontId="5" fillId="6" borderId="13" xfId="2" applyNumberFormat="1" applyFont="1" applyFill="1" applyBorder="1" applyAlignment="1" applyProtection="1">
      <alignment horizontal="center"/>
      <protection locked="0"/>
    </xf>
    <xf numFmtId="9" fontId="5" fillId="6" borderId="2" xfId="2" applyNumberFormat="1" applyFont="1" applyFill="1" applyBorder="1" applyAlignment="1" applyProtection="1">
      <alignment horizontal="right"/>
      <protection locked="0"/>
    </xf>
    <xf numFmtId="0" fontId="5" fillId="6" borderId="24" xfId="2" applyFont="1" applyFill="1" applyBorder="1" applyAlignment="1" applyProtection="1">
      <alignment horizontal="center"/>
      <protection locked="0"/>
    </xf>
    <xf numFmtId="173" fontId="25" fillId="0" borderId="0" xfId="0" applyNumberFormat="1" applyFont="1" applyProtection="1"/>
    <xf numFmtId="171" fontId="25" fillId="0" borderId="0" xfId="0" applyNumberFormat="1" applyFont="1" applyProtection="1"/>
    <xf numFmtId="10" fontId="25" fillId="0" borderId="0" xfId="0" applyNumberFormat="1" applyFont="1" applyProtection="1"/>
    <xf numFmtId="2" fontId="25" fillId="0" borderId="0" xfId="0" applyNumberFormat="1" applyFont="1" applyProtection="1"/>
    <xf numFmtId="0" fontId="25" fillId="0" borderId="0" xfId="0" applyFont="1" applyProtection="1"/>
    <xf numFmtId="0" fontId="0" fillId="0" borderId="17" xfId="0" applyFill="1" applyBorder="1"/>
    <xf numFmtId="0" fontId="0" fillId="0" borderId="17" xfId="0" applyBorder="1"/>
    <xf numFmtId="2" fontId="4" fillId="0" borderId="17" xfId="0" applyNumberFormat="1" applyFont="1" applyBorder="1"/>
    <xf numFmtId="164" fontId="0" fillId="0" borderId="17" xfId="0" applyNumberFormat="1" applyBorder="1"/>
    <xf numFmtId="164" fontId="0" fillId="0" borderId="17" xfId="0" applyNumberFormat="1" applyFill="1" applyBorder="1"/>
    <xf numFmtId="0" fontId="6" fillId="0" borderId="28" xfId="2" applyFont="1" applyBorder="1" applyAlignment="1" applyProtection="1">
      <alignment horizontal="center" vertical="center"/>
    </xf>
    <xf numFmtId="0" fontId="8" fillId="0" borderId="28" xfId="2" applyFont="1" applyBorder="1" applyAlignment="1" applyProtection="1">
      <alignment horizontal="center"/>
    </xf>
    <xf numFmtId="164" fontId="5" fillId="0" borderId="28" xfId="0" applyNumberFormat="1" applyFont="1" applyBorder="1" applyAlignment="1" applyProtection="1">
      <alignment horizontal="center"/>
    </xf>
    <xf numFmtId="0" fontId="22" fillId="0" borderId="0" xfId="0" applyFont="1" applyAlignment="1">
      <alignment horizontal="left"/>
    </xf>
    <xf numFmtId="0" fontId="28" fillId="20" borderId="28" xfId="0" applyFont="1" applyFill="1" applyBorder="1" applyProtection="1">
      <protection locked="0"/>
    </xf>
    <xf numFmtId="0" fontId="5" fillId="0" borderId="0" xfId="2" applyBorder="1" applyAlignment="1">
      <alignment horizontal="center"/>
    </xf>
    <xf numFmtId="1" fontId="8" fillId="0" borderId="28" xfId="2" applyNumberFormat="1" applyFont="1" applyBorder="1" applyAlignment="1" applyProtection="1">
      <alignment horizontal="center"/>
    </xf>
    <xf numFmtId="0" fontId="8" fillId="24" borderId="28" xfId="2" applyFont="1" applyFill="1" applyBorder="1" applyAlignment="1" applyProtection="1">
      <alignment horizontal="center"/>
      <protection locked="0"/>
    </xf>
    <xf numFmtId="0" fontId="5" fillId="24" borderId="28" xfId="2" applyFont="1" applyFill="1" applyBorder="1" applyAlignment="1" applyProtection="1">
      <alignment horizontal="center"/>
      <protection locked="0"/>
    </xf>
    <xf numFmtId="0" fontId="5" fillId="0" borderId="0" xfId="0" applyFont="1" applyAlignment="1" applyProtection="1">
      <alignment horizontal="center"/>
    </xf>
    <xf numFmtId="0" fontId="5" fillId="22" borderId="0" xfId="2" applyFont="1" applyFill="1" applyAlignment="1" applyProtection="1">
      <alignment horizontal="center"/>
    </xf>
    <xf numFmtId="0" fontId="5" fillId="25" borderId="0" xfId="2" applyFont="1" applyFill="1" applyAlignment="1" applyProtection="1">
      <alignment horizontal="center"/>
    </xf>
    <xf numFmtId="0" fontId="5" fillId="0" borderId="28" xfId="2" applyFont="1" applyBorder="1" applyAlignment="1" applyProtection="1">
      <alignment horizontal="center"/>
    </xf>
    <xf numFmtId="0" fontId="5" fillId="0" borderId="0" xfId="2" applyFont="1" applyBorder="1" applyAlignment="1" applyProtection="1">
      <alignment horizontal="center"/>
    </xf>
    <xf numFmtId="0" fontId="5" fillId="0" borderId="0" xfId="2" applyFont="1" applyBorder="1" applyProtection="1"/>
    <xf numFmtId="0" fontId="0" fillId="0" borderId="0" xfId="0" applyFont="1" applyAlignment="1" applyProtection="1">
      <alignment horizontal="left"/>
    </xf>
    <xf numFmtId="0" fontId="0" fillId="0" borderId="0" xfId="0" applyFont="1" applyProtection="1"/>
    <xf numFmtId="0" fontId="0" fillId="0" borderId="0" xfId="2" applyFont="1" applyProtection="1"/>
    <xf numFmtId="0" fontId="24" fillId="0" borderId="0" xfId="2" applyFont="1" applyBorder="1" applyAlignment="1" applyProtection="1">
      <alignment horizontal="left"/>
    </xf>
    <xf numFmtId="0" fontId="29" fillId="0" borderId="0" xfId="2" applyFont="1" applyBorder="1" applyAlignment="1" applyProtection="1">
      <alignment wrapText="1"/>
    </xf>
    <xf numFmtId="0" fontId="29" fillId="0" borderId="0" xfId="2" applyFont="1" applyBorder="1" applyAlignment="1" applyProtection="1">
      <alignment horizontal="left"/>
    </xf>
    <xf numFmtId="0" fontId="29" fillId="0" borderId="7" xfId="2" applyFont="1" applyBorder="1" applyAlignment="1" applyProtection="1">
      <alignment wrapText="1"/>
    </xf>
    <xf numFmtId="2" fontId="29" fillId="0" borderId="0" xfId="2" applyNumberFormat="1" applyFont="1" applyBorder="1" applyAlignment="1" applyProtection="1">
      <alignment wrapText="1"/>
    </xf>
    <xf numFmtId="2" fontId="29" fillId="0" borderId="1" xfId="2" applyNumberFormat="1" applyFont="1" applyBorder="1" applyAlignment="1" applyProtection="1">
      <alignment horizontal="left"/>
    </xf>
    <xf numFmtId="0" fontId="29" fillId="0" borderId="6" xfId="2" applyFont="1" applyBorder="1" applyAlignment="1" applyProtection="1">
      <alignment horizontal="left"/>
    </xf>
    <xf numFmtId="2" fontId="29" fillId="6" borderId="2" xfId="2" applyNumberFormat="1" applyFont="1" applyFill="1" applyBorder="1" applyAlignment="1" applyProtection="1">
      <alignment horizontal="right"/>
      <protection locked="0"/>
    </xf>
    <xf numFmtId="0" fontId="29" fillId="0" borderId="4" xfId="2" applyFont="1" applyBorder="1" applyAlignment="1" applyProtection="1">
      <alignment horizontal="left"/>
    </xf>
    <xf numFmtId="2" fontId="24" fillId="0" borderId="0" xfId="2" applyNumberFormat="1" applyFont="1" applyBorder="1" applyAlignment="1" applyProtection="1">
      <alignment horizontal="right"/>
    </xf>
    <xf numFmtId="2" fontId="29" fillId="0" borderId="0" xfId="2" applyNumberFormat="1" applyFont="1" applyBorder="1" applyAlignment="1" applyProtection="1">
      <alignment horizontal="right"/>
    </xf>
    <xf numFmtId="2" fontId="29" fillId="0" borderId="7" xfId="2" applyNumberFormat="1" applyFont="1" applyBorder="1" applyAlignment="1" applyProtection="1">
      <alignment horizontal="right"/>
    </xf>
    <xf numFmtId="0" fontId="29" fillId="0" borderId="0" xfId="2" applyFont="1" applyBorder="1" applyAlignment="1" applyProtection="1">
      <alignment horizontal="center"/>
    </xf>
    <xf numFmtId="168" fontId="6" fillId="0" borderId="0" xfId="2" applyNumberFormat="1" applyFont="1" applyBorder="1" applyAlignment="1" applyProtection="1">
      <alignment horizontal="left" vertical="center"/>
    </xf>
    <xf numFmtId="0" fontId="5" fillId="0" borderId="0" xfId="2" applyFont="1" applyAlignment="1" applyProtection="1">
      <alignment horizontal="center" vertical="center"/>
    </xf>
    <xf numFmtId="0" fontId="6" fillId="0" borderId="0" xfId="2" applyFont="1" applyBorder="1" applyAlignment="1" applyProtection="1">
      <alignment horizontal="left" vertical="center" wrapText="1"/>
    </xf>
    <xf numFmtId="17" fontId="6" fillId="0" borderId="28" xfId="2" applyNumberFormat="1" applyFont="1" applyBorder="1" applyAlignment="1" applyProtection="1">
      <alignment horizontal="center" vertical="center"/>
    </xf>
    <xf numFmtId="0" fontId="38" fillId="0" borderId="28" xfId="0" applyFont="1" applyBorder="1" applyAlignment="1" applyProtection="1">
      <alignment horizontal="center"/>
    </xf>
    <xf numFmtId="2" fontId="6" fillId="6" borderId="2" xfId="2" applyNumberFormat="1" applyFont="1" applyFill="1" applyBorder="1" applyAlignment="1" applyProtection="1">
      <alignment horizontal="center"/>
      <protection locked="0"/>
    </xf>
    <xf numFmtId="0" fontId="7" fillId="0" borderId="6" xfId="2" applyFont="1" applyBorder="1" applyAlignment="1" applyProtection="1">
      <alignment horizontal="left"/>
    </xf>
    <xf numFmtId="0" fontId="7" fillId="0" borderId="8" xfId="2" applyFont="1" applyBorder="1" applyAlignment="1" applyProtection="1">
      <alignment horizontal="center"/>
    </xf>
    <xf numFmtId="0" fontId="7" fillId="0" borderId="16" xfId="2" applyFont="1" applyBorder="1" applyAlignment="1" applyProtection="1">
      <alignment horizontal="center"/>
    </xf>
    <xf numFmtId="0" fontId="7" fillId="0" borderId="2" xfId="2" applyFont="1" applyBorder="1" applyAlignment="1" applyProtection="1">
      <alignment horizontal="center"/>
    </xf>
    <xf numFmtId="0" fontId="6" fillId="0" borderId="2" xfId="2" applyFont="1" applyBorder="1" applyAlignment="1" applyProtection="1">
      <alignment horizontal="center"/>
    </xf>
    <xf numFmtId="1" fontId="6" fillId="0" borderId="2" xfId="2" applyNumberFormat="1" applyFont="1" applyBorder="1" applyAlignment="1" applyProtection="1">
      <alignment horizontal="center"/>
    </xf>
    <xf numFmtId="164" fontId="7" fillId="0" borderId="2" xfId="2" applyNumberFormat="1" applyFont="1" applyBorder="1" applyAlignment="1" applyProtection="1">
      <alignment horizontal="center"/>
    </xf>
    <xf numFmtId="0" fontId="7" fillId="0" borderId="1" xfId="2" applyFont="1" applyBorder="1" applyAlignment="1" applyProtection="1">
      <alignment horizontal="center" vertical="center"/>
    </xf>
    <xf numFmtId="0" fontId="7" fillId="0" borderId="2" xfId="2" applyFont="1" applyBorder="1" applyAlignment="1" applyProtection="1">
      <alignment horizontal="center" vertical="center"/>
    </xf>
    <xf numFmtId="0" fontId="6" fillId="0" borderId="2" xfId="2" applyFont="1" applyBorder="1" applyAlignment="1" applyProtection="1">
      <alignment horizontal="center" vertical="center"/>
    </xf>
    <xf numFmtId="0" fontId="6" fillId="0" borderId="16" xfId="2" applyFont="1" applyBorder="1" applyAlignment="1" applyProtection="1">
      <alignment horizontal="center"/>
    </xf>
    <xf numFmtId="0" fontId="6" fillId="0" borderId="1" xfId="2" applyFont="1" applyBorder="1" applyAlignment="1" applyProtection="1">
      <alignment horizontal="center"/>
    </xf>
    <xf numFmtId="17" fontId="7" fillId="0" borderId="2" xfId="2" applyNumberFormat="1" applyFont="1" applyBorder="1" applyAlignment="1" applyProtection="1">
      <alignment horizontal="center" vertical="center"/>
    </xf>
    <xf numFmtId="0" fontId="6" fillId="0" borderId="28" xfId="2" applyFont="1" applyBorder="1" applyAlignment="1">
      <alignment horizontal="center" vertical="center" wrapText="1"/>
    </xf>
    <xf numFmtId="0" fontId="13" fillId="0" borderId="28" xfId="2" applyFont="1" applyBorder="1" applyAlignment="1">
      <alignment horizontal="center" vertical="center" wrapText="1"/>
    </xf>
    <xf numFmtId="0" fontId="5" fillId="0" borderId="28" xfId="2" applyBorder="1" applyAlignment="1">
      <alignment horizontal="center"/>
    </xf>
    <xf numFmtId="0" fontId="5" fillId="0" borderId="28" xfId="2" applyBorder="1" applyAlignment="1">
      <alignment horizontal="center" vertical="center"/>
    </xf>
    <xf numFmtId="164" fontId="5" fillId="0" borderId="28" xfId="2" applyNumberFormat="1" applyBorder="1" applyAlignment="1">
      <alignment horizontal="center"/>
    </xf>
    <xf numFmtId="0" fontId="6" fillId="0" borderId="0" xfId="2" applyFont="1" applyBorder="1" applyAlignment="1" applyProtection="1">
      <alignment horizontal="left" wrapText="1"/>
    </xf>
    <xf numFmtId="0" fontId="24" fillId="0" borderId="0" xfId="2" applyFont="1" applyBorder="1" applyAlignment="1" applyProtection="1">
      <alignment horizontal="left" vertical="center"/>
    </xf>
    <xf numFmtId="0" fontId="24" fillId="0" borderId="0" xfId="2" applyFont="1" applyBorder="1" applyAlignment="1" applyProtection="1">
      <alignment horizontal="center" vertical="center"/>
    </xf>
    <xf numFmtId="0" fontId="26" fillId="0" borderId="0" xfId="2" applyFont="1" applyProtection="1"/>
    <xf numFmtId="0" fontId="26" fillId="0" borderId="0" xfId="0" applyFont="1" applyProtection="1"/>
    <xf numFmtId="0" fontId="29" fillId="0" borderId="1" xfId="2" applyFont="1" applyBorder="1" applyAlignment="1" applyProtection="1">
      <alignment wrapText="1"/>
    </xf>
    <xf numFmtId="0" fontId="29" fillId="6" borderId="2" xfId="2" applyFont="1" applyFill="1" applyBorder="1" applyAlignment="1" applyProtection="1">
      <alignment horizontal="center" vertical="center"/>
      <protection locked="0"/>
    </xf>
    <xf numFmtId="0" fontId="24" fillId="0" borderId="4" xfId="2" applyFont="1" applyBorder="1" applyAlignment="1" applyProtection="1">
      <alignment horizontal="left"/>
    </xf>
    <xf numFmtId="0" fontId="24" fillId="0" borderId="28" xfId="2" applyFont="1" applyBorder="1" applyAlignment="1" applyProtection="1">
      <alignment horizontal="center" vertical="center"/>
    </xf>
    <xf numFmtId="0" fontId="29" fillId="0" borderId="28" xfId="2" applyFont="1" applyBorder="1" applyAlignment="1" applyProtection="1">
      <alignment horizontal="center" vertical="center"/>
    </xf>
    <xf numFmtId="0" fontId="29" fillId="20" borderId="2" xfId="2" applyFont="1" applyFill="1" applyBorder="1" applyAlignment="1" applyProtection="1">
      <alignment horizontal="center" vertical="center"/>
      <protection locked="0"/>
    </xf>
    <xf numFmtId="0" fontId="29" fillId="0" borderId="2" xfId="2" applyFont="1" applyFill="1" applyBorder="1" applyAlignment="1" applyProtection="1">
      <alignment horizontal="center" vertical="center"/>
    </xf>
    <xf numFmtId="165" fontId="24" fillId="7" borderId="0" xfId="2" applyNumberFormat="1" applyFont="1" applyFill="1" applyBorder="1" applyAlignment="1" applyProtection="1">
      <alignment horizontal="center" vertical="center"/>
    </xf>
    <xf numFmtId="0" fontId="29" fillId="7" borderId="0" xfId="2" applyFont="1" applyFill="1" applyBorder="1" applyAlignment="1" applyProtection="1">
      <alignment horizontal="left"/>
    </xf>
    <xf numFmtId="164" fontId="29" fillId="7" borderId="0" xfId="2" applyNumberFormat="1" applyFont="1" applyFill="1" applyBorder="1" applyAlignment="1" applyProtection="1">
      <alignment horizontal="center" vertical="center"/>
    </xf>
    <xf numFmtId="0" fontId="31" fillId="7" borderId="0" xfId="2" applyFont="1" applyFill="1" applyBorder="1" applyAlignment="1" applyProtection="1">
      <alignment horizontal="center" vertical="center"/>
    </xf>
    <xf numFmtId="165" fontId="24" fillId="8" borderId="0" xfId="2" applyNumberFormat="1" applyFont="1" applyFill="1" applyBorder="1" applyAlignment="1" applyProtection="1">
      <alignment horizontal="center" vertical="center"/>
    </xf>
    <xf numFmtId="0" fontId="24" fillId="8" borderId="0" xfId="2" applyFont="1" applyFill="1" applyBorder="1" applyAlignment="1" applyProtection="1">
      <alignment horizontal="left"/>
    </xf>
    <xf numFmtId="0" fontId="29" fillId="8" borderId="0" xfId="2" applyFont="1" applyFill="1" applyBorder="1" applyAlignment="1" applyProtection="1">
      <alignment horizontal="left"/>
    </xf>
    <xf numFmtId="164" fontId="29" fillId="8" borderId="0" xfId="2" applyNumberFormat="1" applyFont="1" applyFill="1" applyBorder="1" applyAlignment="1" applyProtection="1">
      <alignment horizontal="center" vertical="center"/>
    </xf>
    <xf numFmtId="0" fontId="31" fillId="8" borderId="0" xfId="2" applyFont="1" applyFill="1" applyBorder="1" applyAlignment="1" applyProtection="1">
      <alignment horizontal="center" vertical="center"/>
    </xf>
    <xf numFmtId="17" fontId="29" fillId="0" borderId="28" xfId="2" applyNumberFormat="1" applyFont="1" applyBorder="1" applyAlignment="1" applyProtection="1">
      <alignment horizontal="center" vertical="center"/>
    </xf>
    <xf numFmtId="0" fontId="26" fillId="0" borderId="28" xfId="0" applyFont="1" applyBorder="1" applyAlignment="1" applyProtection="1">
      <alignment horizontal="center"/>
    </xf>
    <xf numFmtId="0" fontId="29" fillId="0" borderId="0" xfId="2" applyFont="1" applyBorder="1" applyAlignment="1" applyProtection="1">
      <alignment horizontal="left" vertical="center"/>
    </xf>
    <xf numFmtId="49" fontId="29" fillId="0" borderId="0" xfId="2" applyNumberFormat="1" applyFont="1" applyBorder="1" applyAlignment="1" applyProtection="1">
      <alignment horizontal="left" vertical="center"/>
    </xf>
    <xf numFmtId="0" fontId="0" fillId="0" borderId="0" xfId="0" applyFont="1" applyFill="1"/>
    <xf numFmtId="0" fontId="0" fillId="0" borderId="0" xfId="2" applyFont="1" applyFill="1" applyBorder="1" applyAlignment="1" applyProtection="1">
      <alignment wrapText="1"/>
    </xf>
    <xf numFmtId="0" fontId="0" fillId="0" borderId="0" xfId="2" applyFont="1" applyFill="1" applyProtection="1"/>
    <xf numFmtId="0" fontId="0" fillId="0" borderId="0" xfId="0" applyBorder="1" applyProtection="1"/>
    <xf numFmtId="0" fontId="6" fillId="0" borderId="28" xfId="2" applyFont="1" applyFill="1" applyBorder="1" applyAlignment="1" applyProtection="1">
      <alignment horizontal="center" vertical="center"/>
    </xf>
    <xf numFmtId="0" fontId="5" fillId="0" borderId="0" xfId="2" applyFont="1" applyFill="1" applyBorder="1" applyProtection="1"/>
    <xf numFmtId="0" fontId="5" fillId="0" borderId="0" xfId="0" applyFont="1" applyBorder="1" applyProtection="1"/>
    <xf numFmtId="0" fontId="6" fillId="0" borderId="0" xfId="2" applyFont="1" applyFill="1" applyBorder="1" applyAlignment="1" applyProtection="1">
      <alignment horizontal="center"/>
    </xf>
    <xf numFmtId="0" fontId="5" fillId="0" borderId="0" xfId="0" applyFont="1" applyBorder="1" applyAlignment="1" applyProtection="1">
      <alignment horizontal="center"/>
    </xf>
    <xf numFmtId="0" fontId="5" fillId="0" borderId="0" xfId="2" applyFont="1" applyFill="1" applyBorder="1" applyAlignment="1" applyProtection="1">
      <alignment horizontal="center"/>
    </xf>
    <xf numFmtId="0" fontId="6" fillId="0" borderId="28" xfId="2" applyFont="1" applyFill="1" applyBorder="1" applyAlignment="1" applyProtection="1">
      <alignment horizontal="left"/>
    </xf>
    <xf numFmtId="0" fontId="6" fillId="0" borderId="28" xfId="2" applyFont="1" applyFill="1" applyBorder="1" applyAlignment="1" applyProtection="1">
      <alignment horizontal="center"/>
    </xf>
    <xf numFmtId="1" fontId="6" fillId="0" borderId="28" xfId="2" applyNumberFormat="1" applyFont="1" applyBorder="1" applyAlignment="1" applyProtection="1">
      <alignment horizontal="center" wrapText="1"/>
    </xf>
    <xf numFmtId="164" fontId="6" fillId="0" borderId="28" xfId="2" applyNumberFormat="1" applyFont="1" applyFill="1" applyBorder="1" applyAlignment="1" applyProtection="1">
      <alignment horizontal="center"/>
    </xf>
    <xf numFmtId="1" fontId="6" fillId="0" borderId="28" xfId="2" applyNumberFormat="1" applyFont="1" applyFill="1" applyBorder="1" applyAlignment="1" applyProtection="1">
      <alignment horizontal="center"/>
    </xf>
    <xf numFmtId="9" fontId="26" fillId="0" borderId="28" xfId="4" applyFill="1" applyBorder="1" applyAlignment="1" applyProtection="1">
      <alignment horizontal="center"/>
    </xf>
    <xf numFmtId="0" fontId="7" fillId="0" borderId="0" xfId="2" applyFont="1" applyFill="1" applyBorder="1" applyAlignment="1" applyProtection="1">
      <alignment horizontal="center" vertical="center"/>
    </xf>
    <xf numFmtId="0" fontId="6" fillId="0" borderId="0" xfId="2" applyFont="1" applyFill="1" applyBorder="1" applyAlignment="1" applyProtection="1">
      <alignment horizontal="center" vertical="center"/>
    </xf>
    <xf numFmtId="0" fontId="0" fillId="0" borderId="0" xfId="0" applyFont="1" applyFill="1" applyBorder="1" applyProtection="1"/>
    <xf numFmtId="49" fontId="29" fillId="0" borderId="28" xfId="2" applyNumberFormat="1" applyFont="1" applyFill="1" applyBorder="1" applyAlignment="1" applyProtection="1">
      <alignment horizontal="center"/>
    </xf>
    <xf numFmtId="1" fontId="29" fillId="0" borderId="28" xfId="2" applyNumberFormat="1" applyFont="1" applyFill="1" applyBorder="1" applyAlignment="1" applyProtection="1">
      <alignment horizontal="center"/>
    </xf>
    <xf numFmtId="0" fontId="29" fillId="0" borderId="28" xfId="2" applyNumberFormat="1" applyFont="1" applyFill="1" applyBorder="1" applyAlignment="1" applyProtection="1">
      <alignment horizontal="center"/>
    </xf>
    <xf numFmtId="0" fontId="40" fillId="0" borderId="2" xfId="2" applyFont="1" applyFill="1" applyBorder="1" applyAlignment="1" applyProtection="1">
      <alignment horizontal="center"/>
    </xf>
    <xf numFmtId="0" fontId="11" fillId="0" borderId="0" xfId="2" applyFont="1" applyBorder="1" applyAlignment="1" applyProtection="1">
      <alignment wrapText="1"/>
    </xf>
    <xf numFmtId="0" fontId="12" fillId="0" borderId="0" xfId="2" applyFont="1" applyBorder="1" applyAlignment="1" applyProtection="1">
      <alignment horizontal="center"/>
    </xf>
    <xf numFmtId="0" fontId="33" fillId="0" borderId="0" xfId="2" applyFont="1" applyProtection="1"/>
    <xf numFmtId="10" fontId="12" fillId="0" borderId="0" xfId="2" applyNumberFormat="1" applyFont="1" applyBorder="1" applyAlignment="1" applyProtection="1">
      <alignment horizontal="center"/>
    </xf>
    <xf numFmtId="49" fontId="12" fillId="0" borderId="0" xfId="2" applyNumberFormat="1" applyFont="1" applyBorder="1" applyAlignment="1" applyProtection="1">
      <alignment horizontal="center"/>
    </xf>
    <xf numFmtId="0" fontId="33" fillId="0" borderId="0" xfId="2" applyFont="1" applyBorder="1" applyProtection="1"/>
    <xf numFmtId="0" fontId="33" fillId="0" borderId="0" xfId="0" applyFont="1" applyProtection="1"/>
    <xf numFmtId="0" fontId="33" fillId="0" borderId="0" xfId="0" applyFont="1" applyBorder="1" applyProtection="1"/>
    <xf numFmtId="0" fontId="34" fillId="0" borderId="0" xfId="2" applyFont="1" applyBorder="1" applyAlignment="1" applyProtection="1">
      <alignment horizontal="center"/>
    </xf>
    <xf numFmtId="0" fontId="34" fillId="0" borderId="0" xfId="0" applyFont="1" applyBorder="1" applyAlignment="1" applyProtection="1">
      <alignment horizontal="center"/>
    </xf>
    <xf numFmtId="0" fontId="6" fillId="24" borderId="28" xfId="2" applyFont="1" applyFill="1" applyBorder="1" applyAlignment="1" applyProtection="1">
      <alignment horizontal="left"/>
      <protection locked="0"/>
    </xf>
    <xf numFmtId="0" fontId="6" fillId="24" borderId="28" xfId="2" applyFont="1" applyFill="1" applyBorder="1" applyAlignment="1" applyProtection="1">
      <alignment horizontal="center"/>
      <protection locked="0"/>
    </xf>
    <xf numFmtId="10" fontId="6" fillId="24" borderId="28" xfId="2" applyNumberFormat="1" applyFont="1" applyFill="1" applyBorder="1" applyAlignment="1" applyProtection="1">
      <alignment horizontal="center"/>
      <protection locked="0"/>
    </xf>
    <xf numFmtId="0" fontId="6" fillId="24" borderId="28" xfId="2" applyFont="1" applyFill="1" applyBorder="1" applyAlignment="1" applyProtection="1">
      <alignment horizontal="left" vertical="center" wrapText="1"/>
      <protection locked="0"/>
    </xf>
    <xf numFmtId="0" fontId="6" fillId="20" borderId="28" xfId="2" applyFont="1" applyFill="1" applyBorder="1" applyAlignment="1" applyProtection="1">
      <alignment horizontal="center" vertical="center"/>
      <protection locked="0"/>
    </xf>
    <xf numFmtId="0" fontId="5" fillId="20" borderId="28" xfId="2" applyFont="1" applyFill="1" applyBorder="1" applyProtection="1">
      <protection locked="0"/>
    </xf>
    <xf numFmtId="0" fontId="34" fillId="0" borderId="0" xfId="2" applyFont="1" applyAlignment="1" applyProtection="1">
      <alignment horizontal="center"/>
    </xf>
    <xf numFmtId="0" fontId="34" fillId="0" borderId="0" xfId="0" applyFont="1" applyAlignment="1" applyProtection="1">
      <alignment horizontal="center"/>
    </xf>
    <xf numFmtId="165" fontId="6" fillId="0" borderId="28" xfId="2" applyNumberFormat="1" applyFont="1" applyFill="1" applyBorder="1" applyAlignment="1" applyProtection="1">
      <alignment horizontal="center"/>
    </xf>
    <xf numFmtId="165" fontId="26" fillId="0" borderId="28" xfId="4" applyNumberFormat="1" applyFill="1" applyBorder="1" applyAlignment="1" applyProtection="1">
      <alignment horizontal="center"/>
    </xf>
    <xf numFmtId="0" fontId="29" fillId="0" borderId="0" xfId="2" applyFont="1" applyBorder="1" applyAlignment="1" applyProtection="1">
      <alignment horizontal="center" vertical="center"/>
    </xf>
    <xf numFmtId="17" fontId="29" fillId="0" borderId="0" xfId="2" applyNumberFormat="1" applyFont="1" applyBorder="1" applyAlignment="1" applyProtection="1">
      <alignment horizontal="center" vertical="center"/>
    </xf>
    <xf numFmtId="0" fontId="5" fillId="0" borderId="28" xfId="0" applyFont="1" applyBorder="1" applyProtection="1"/>
    <xf numFmtId="0" fontId="5" fillId="0" borderId="28" xfId="0" applyFont="1" applyBorder="1" applyAlignment="1" applyProtection="1">
      <alignment horizontal="center"/>
    </xf>
    <xf numFmtId="0" fontId="26" fillId="0" borderId="0" xfId="0" applyFont="1" applyBorder="1" applyAlignment="1" applyProtection="1">
      <alignment horizontal="center"/>
    </xf>
    <xf numFmtId="0" fontId="0" fillId="0" borderId="28" xfId="0" applyBorder="1" applyProtection="1"/>
    <xf numFmtId="1" fontId="5" fillId="0" borderId="28" xfId="2" applyNumberFormat="1" applyBorder="1" applyAlignment="1">
      <alignment horizontal="center"/>
    </xf>
    <xf numFmtId="0" fontId="29" fillId="20" borderId="28" xfId="2" applyFont="1" applyFill="1" applyBorder="1" applyAlignment="1" applyProtection="1">
      <alignment horizontal="center" vertical="center"/>
      <protection locked="0"/>
    </xf>
    <xf numFmtId="0" fontId="5" fillId="0" borderId="0" xfId="2" applyFont="1" applyBorder="1" applyAlignment="1" applyProtection="1">
      <alignment wrapText="1"/>
    </xf>
    <xf numFmtId="0" fontId="4" fillId="0" borderId="0" xfId="2" applyFont="1" applyProtection="1"/>
    <xf numFmtId="0" fontId="26" fillId="0" borderId="0" xfId="2" applyFont="1" applyBorder="1" applyAlignment="1" applyProtection="1">
      <alignment wrapText="1"/>
    </xf>
    <xf numFmtId="0" fontId="26" fillId="0" borderId="0" xfId="0" applyFont="1" applyFill="1" applyProtection="1"/>
    <xf numFmtId="0" fontId="5" fillId="0" borderId="0" xfId="2" applyFont="1" applyBorder="1" applyAlignment="1">
      <alignment wrapText="1"/>
    </xf>
    <xf numFmtId="0" fontId="0" fillId="0" borderId="0" xfId="2" applyFont="1"/>
    <xf numFmtId="0" fontId="5" fillId="0" borderId="0" xfId="2" applyNumberFormat="1" applyFont="1" applyBorder="1" applyProtection="1"/>
    <xf numFmtId="0" fontId="10" fillId="0" borderId="0" xfId="2" applyNumberFormat="1" applyFont="1" applyBorder="1" applyAlignment="1" applyProtection="1">
      <alignment horizontal="center" vertical="center"/>
    </xf>
    <xf numFmtId="0" fontId="6" fillId="0" borderId="0" xfId="2" applyNumberFormat="1" applyFont="1" applyBorder="1" applyAlignment="1" applyProtection="1">
      <alignment wrapText="1"/>
    </xf>
    <xf numFmtId="0" fontId="6" fillId="0" borderId="28" xfId="2" applyNumberFormat="1" applyFont="1" applyBorder="1" applyAlignment="1" applyProtection="1">
      <alignment horizontal="left" vertical="center"/>
    </xf>
    <xf numFmtId="0" fontId="6" fillId="0" borderId="28" xfId="2" applyNumberFormat="1" applyFont="1" applyBorder="1" applyAlignment="1" applyProtection="1">
      <alignment horizontal="center" vertical="center"/>
    </xf>
    <xf numFmtId="0" fontId="24" fillId="0" borderId="28" xfId="2" applyNumberFormat="1" applyFont="1" applyBorder="1" applyAlignment="1" applyProtection="1">
      <alignment horizontal="center" vertical="center"/>
    </xf>
    <xf numFmtId="0" fontId="0" fillId="0" borderId="0" xfId="2" applyNumberFormat="1" applyFont="1" applyBorder="1" applyAlignment="1" applyProtection="1">
      <alignment wrapText="1"/>
    </xf>
    <xf numFmtId="0" fontId="0" fillId="0" borderId="0" xfId="2" applyNumberFormat="1" applyFont="1" applyBorder="1" applyProtection="1"/>
    <xf numFmtId="0" fontId="0" fillId="0" borderId="0" xfId="0" applyNumberFormat="1" applyFont="1" applyBorder="1" applyAlignment="1" applyProtection="1">
      <alignment horizontal="left"/>
    </xf>
    <xf numFmtId="0" fontId="0" fillId="0" borderId="0" xfId="0" applyNumberFormat="1" applyFont="1" applyFill="1" applyBorder="1" applyProtection="1"/>
    <xf numFmtId="9" fontId="26" fillId="0" borderId="28" xfId="4" applyBorder="1" applyAlignment="1" applyProtection="1">
      <alignment horizontal="center" vertical="center"/>
    </xf>
    <xf numFmtId="9" fontId="26" fillId="0" borderId="0" xfId="4" applyBorder="1" applyProtection="1"/>
    <xf numFmtId="9" fontId="26" fillId="0" borderId="0" xfId="4" applyBorder="1" applyAlignment="1" applyProtection="1">
      <alignment wrapText="1"/>
    </xf>
    <xf numFmtId="0" fontId="4" fillId="0" borderId="0" xfId="2" applyNumberFormat="1" applyFont="1" applyBorder="1" applyProtection="1"/>
    <xf numFmtId="0" fontId="37" fillId="0" borderId="0" xfId="0" applyFont="1" applyProtection="1"/>
    <xf numFmtId="0" fontId="37" fillId="0" borderId="28" xfId="0" applyFont="1" applyBorder="1" applyAlignment="1" applyProtection="1">
      <alignment horizontal="center"/>
    </xf>
    <xf numFmtId="0" fontId="0" fillId="0" borderId="0" xfId="2" applyFont="1" applyBorder="1" applyAlignment="1" applyProtection="1">
      <alignment wrapText="1"/>
    </xf>
    <xf numFmtId="0" fontId="7" fillId="0" borderId="14" xfId="2" applyFont="1" applyBorder="1" applyAlignment="1" applyProtection="1">
      <alignment horizontal="left" vertical="center"/>
    </xf>
    <xf numFmtId="0" fontId="11" fillId="0" borderId="7" xfId="2" applyFont="1" applyBorder="1" applyAlignment="1" applyProtection="1">
      <alignment horizontal="center"/>
    </xf>
    <xf numFmtId="0" fontId="11" fillId="0" borderId="7" xfId="2" applyFont="1" applyBorder="1" applyAlignment="1" applyProtection="1">
      <alignment horizontal="right"/>
    </xf>
    <xf numFmtId="0" fontId="11" fillId="0" borderId="7" xfId="2" applyFont="1" applyBorder="1" applyAlignment="1" applyProtection="1">
      <alignment horizontal="center" vertical="center"/>
    </xf>
    <xf numFmtId="0" fontId="11" fillId="0" borderId="15" xfId="2" applyFont="1" applyBorder="1" applyAlignment="1" applyProtection="1">
      <alignment horizontal="center"/>
    </xf>
    <xf numFmtId="0" fontId="11" fillId="0" borderId="4" xfId="2" applyFont="1" applyBorder="1" applyAlignment="1" applyProtection="1">
      <alignment horizontal="left" vertical="center"/>
    </xf>
    <xf numFmtId="0" fontId="11" fillId="0" borderId="6" xfId="2" applyFont="1" applyBorder="1" applyAlignment="1" applyProtection="1">
      <alignment horizontal="center"/>
    </xf>
    <xf numFmtId="0" fontId="11" fillId="0" borderId="4" xfId="2" applyFont="1" applyBorder="1" applyAlignment="1" applyProtection="1">
      <alignment horizontal="right"/>
    </xf>
    <xf numFmtId="0" fontId="12" fillId="0" borderId="0" xfId="2" applyFont="1" applyBorder="1" applyAlignment="1" applyProtection="1">
      <alignment horizontal="right"/>
    </xf>
    <xf numFmtId="0" fontId="6" fillId="0" borderId="6" xfId="2" applyFont="1" applyBorder="1" applyAlignment="1" applyProtection="1">
      <alignment wrapText="1"/>
    </xf>
    <xf numFmtId="0" fontId="11" fillId="17" borderId="2" xfId="2" applyFont="1" applyFill="1" applyBorder="1" applyAlignment="1" applyProtection="1">
      <alignment horizontal="center"/>
    </xf>
    <xf numFmtId="0" fontId="11" fillId="0" borderId="3" xfId="2" applyFont="1" applyBorder="1" applyAlignment="1" applyProtection="1">
      <alignment horizontal="right"/>
    </xf>
    <xf numFmtId="0" fontId="11" fillId="0" borderId="3" xfId="2" applyFont="1" applyBorder="1" applyAlignment="1" applyProtection="1">
      <alignment horizontal="center"/>
    </xf>
    <xf numFmtId="49" fontId="11" fillId="0" borderId="4" xfId="2" applyNumberFormat="1" applyFont="1" applyBorder="1" applyAlignment="1" applyProtection="1">
      <alignment horizontal="center"/>
    </xf>
    <xf numFmtId="0" fontId="11" fillId="0" borderId="0" xfId="2" applyFont="1" applyBorder="1" applyAlignment="1" applyProtection="1">
      <alignment horizontal="center"/>
    </xf>
    <xf numFmtId="0" fontId="11" fillId="0" borderId="0" xfId="2" applyFont="1" applyBorder="1" applyAlignment="1" applyProtection="1">
      <alignment horizontal="right"/>
    </xf>
    <xf numFmtId="164" fontId="11" fillId="0" borderId="0" xfId="2" applyNumberFormat="1" applyFont="1" applyBorder="1" applyAlignment="1" applyProtection="1">
      <alignment horizontal="center"/>
    </xf>
    <xf numFmtId="10" fontId="11" fillId="0" borderId="0" xfId="2" applyNumberFormat="1" applyFont="1" applyBorder="1" applyAlignment="1" applyProtection="1">
      <alignment horizontal="center"/>
    </xf>
    <xf numFmtId="0" fontId="6" fillId="0" borderId="16" xfId="2" applyFont="1" applyBorder="1" applyAlignment="1" applyProtection="1">
      <alignment wrapText="1"/>
    </xf>
    <xf numFmtId="1" fontId="11" fillId="0" borderId="0" xfId="2" applyNumberFormat="1" applyFont="1" applyBorder="1" applyAlignment="1" applyProtection="1">
      <alignment horizontal="center"/>
    </xf>
    <xf numFmtId="0" fontId="12" fillId="0" borderId="4" xfId="2" applyFont="1" applyBorder="1" applyAlignment="1" applyProtection="1">
      <alignment horizontal="right"/>
    </xf>
    <xf numFmtId="0" fontId="11" fillId="0" borderId="2" xfId="2" applyFont="1" applyBorder="1" applyAlignment="1" applyProtection="1">
      <alignment horizontal="center"/>
    </xf>
    <xf numFmtId="9" fontId="11" fillId="17" borderId="2" xfId="2" applyNumberFormat="1" applyFont="1" applyFill="1" applyBorder="1" applyAlignment="1" applyProtection="1">
      <alignment horizontal="center"/>
    </xf>
    <xf numFmtId="0" fontId="12" fillId="0" borderId="7" xfId="2" applyFont="1" applyBorder="1" applyAlignment="1" applyProtection="1">
      <alignment horizontal="center"/>
    </xf>
    <xf numFmtId="0" fontId="12" fillId="0" borderId="6" xfId="2" applyFont="1" applyBorder="1" applyAlignment="1" applyProtection="1">
      <alignment horizontal="center"/>
    </xf>
    <xf numFmtId="49" fontId="12" fillId="0" borderId="4" xfId="2" applyNumberFormat="1" applyFont="1" applyBorder="1" applyAlignment="1" applyProtection="1">
      <alignment horizontal="center"/>
    </xf>
    <xf numFmtId="1" fontId="11" fillId="0" borderId="4" xfId="2" applyNumberFormat="1" applyFont="1" applyBorder="1" applyAlignment="1" applyProtection="1">
      <alignment horizontal="right"/>
    </xf>
    <xf numFmtId="1" fontId="11" fillId="0" borderId="0" xfId="2" applyNumberFormat="1" applyFont="1" applyBorder="1" applyAlignment="1" applyProtection="1">
      <alignment horizontal="right"/>
    </xf>
    <xf numFmtId="1" fontId="11" fillId="0" borderId="6" xfId="2" applyNumberFormat="1" applyFont="1" applyBorder="1" applyAlignment="1" applyProtection="1">
      <alignment horizontal="center"/>
    </xf>
    <xf numFmtId="0" fontId="11" fillId="0" borderId="6" xfId="2" applyFont="1" applyFill="1" applyBorder="1" applyAlignment="1" applyProtection="1">
      <alignment horizontal="right"/>
    </xf>
    <xf numFmtId="0" fontId="11" fillId="0" borderId="6" xfId="2" applyFont="1" applyBorder="1" applyAlignment="1" applyProtection="1">
      <alignment horizontal="right"/>
    </xf>
    <xf numFmtId="2" fontId="11" fillId="0" borderId="0" xfId="2" applyNumberFormat="1" applyFont="1" applyBorder="1" applyAlignment="1" applyProtection="1">
      <alignment horizontal="center"/>
    </xf>
    <xf numFmtId="166" fontId="11" fillId="0" borderId="0" xfId="2" applyNumberFormat="1" applyFont="1" applyBorder="1" applyAlignment="1" applyProtection="1">
      <alignment horizontal="center"/>
    </xf>
    <xf numFmtId="166" fontId="11" fillId="0" borderId="0" xfId="2" applyNumberFormat="1" applyFont="1" applyBorder="1" applyAlignment="1" applyProtection="1">
      <alignment horizontal="right"/>
    </xf>
    <xf numFmtId="0" fontId="11" fillId="0" borderId="0" xfId="2" applyFont="1" applyBorder="1" applyAlignment="1" applyProtection="1">
      <alignment horizontal="left"/>
    </xf>
    <xf numFmtId="0" fontId="11" fillId="0" borderId="0" xfId="2" applyFont="1" applyBorder="1" applyAlignment="1" applyProtection="1">
      <alignment horizontal="left" vertical="center"/>
    </xf>
    <xf numFmtId="0" fontId="29" fillId="0" borderId="5" xfId="2" applyFont="1" applyFill="1" applyBorder="1" applyAlignment="1" applyProtection="1">
      <alignment wrapText="1"/>
    </xf>
    <xf numFmtId="0" fontId="29" fillId="0" borderId="1" xfId="2" applyFont="1" applyFill="1" applyBorder="1" applyAlignment="1" applyProtection="1">
      <alignment wrapText="1"/>
    </xf>
    <xf numFmtId="0" fontId="29" fillId="0" borderId="6" xfId="2" applyFont="1" applyFill="1" applyBorder="1" applyAlignment="1" applyProtection="1">
      <alignment wrapText="1"/>
    </xf>
    <xf numFmtId="17" fontId="29" fillId="0" borderId="2" xfId="2" applyNumberFormat="1" applyFont="1" applyFill="1" applyBorder="1" applyAlignment="1" applyProtection="1">
      <alignment horizontal="center" vertical="center"/>
    </xf>
    <xf numFmtId="0" fontId="29" fillId="0" borderId="2" xfId="2" applyFont="1" applyFill="1" applyBorder="1" applyAlignment="1" applyProtection="1">
      <alignment horizontal="center"/>
    </xf>
    <xf numFmtId="0" fontId="29" fillId="0" borderId="0" xfId="2" applyFont="1" applyFill="1" applyBorder="1" applyAlignment="1" applyProtection="1">
      <alignment wrapText="1"/>
    </xf>
    <xf numFmtId="0" fontId="26" fillId="0" borderId="0" xfId="2" applyFont="1" applyFill="1" applyProtection="1"/>
    <xf numFmtId="49" fontId="29" fillId="0" borderId="2" xfId="2" applyNumberFormat="1" applyFont="1" applyFill="1" applyBorder="1" applyAlignment="1" applyProtection="1">
      <alignment horizontal="center"/>
    </xf>
    <xf numFmtId="0" fontId="29" fillId="0" borderId="3" xfId="2" applyFont="1" applyFill="1" applyBorder="1" applyAlignment="1" applyProtection="1">
      <alignment wrapText="1"/>
    </xf>
    <xf numFmtId="1" fontId="29" fillId="0" borderId="2" xfId="2" applyNumberFormat="1" applyFont="1" applyFill="1" applyBorder="1" applyAlignment="1" applyProtection="1">
      <alignment horizontal="center"/>
    </xf>
    <xf numFmtId="0" fontId="29" fillId="0" borderId="4" xfId="2" applyFont="1" applyFill="1" applyBorder="1" applyAlignment="1" applyProtection="1">
      <alignment wrapText="1"/>
    </xf>
    <xf numFmtId="0" fontId="29" fillId="0" borderId="7" xfId="2" applyFont="1" applyFill="1" applyBorder="1" applyAlignment="1" applyProtection="1">
      <alignment wrapText="1"/>
    </xf>
    <xf numFmtId="0" fontId="6" fillId="24" borderId="2" xfId="2" applyFont="1" applyFill="1" applyBorder="1" applyAlignment="1" applyProtection="1">
      <alignment horizontal="left"/>
      <protection locked="0"/>
    </xf>
    <xf numFmtId="0" fontId="6" fillId="24" borderId="2" xfId="2" applyFont="1" applyFill="1" applyBorder="1" applyAlignment="1" applyProtection="1">
      <alignment horizontal="center"/>
      <protection locked="0"/>
    </xf>
    <xf numFmtId="10" fontId="6" fillId="24" borderId="2" xfId="2" applyNumberFormat="1" applyFont="1" applyFill="1" applyBorder="1" applyAlignment="1" applyProtection="1">
      <alignment horizontal="center"/>
      <protection locked="0"/>
    </xf>
    <xf numFmtId="0" fontId="6" fillId="24" borderId="2" xfId="2" applyFont="1" applyFill="1" applyBorder="1" applyAlignment="1" applyProtection="1">
      <alignment horizontal="left" vertical="center" wrapText="1"/>
      <protection locked="0"/>
    </xf>
    <xf numFmtId="0" fontId="6" fillId="24" borderId="2" xfId="2" applyFont="1" applyFill="1" applyBorder="1" applyAlignment="1" applyProtection="1">
      <alignment horizontal="center" vertical="center"/>
      <protection locked="0"/>
    </xf>
    <xf numFmtId="0" fontId="13" fillId="26" borderId="28" xfId="2" applyFont="1" applyFill="1" applyBorder="1" applyAlignment="1">
      <alignment horizontal="center" vertical="center" wrapText="1"/>
    </xf>
    <xf numFmtId="0" fontId="6" fillId="26" borderId="28" xfId="2" applyFont="1" applyFill="1" applyBorder="1" applyAlignment="1">
      <alignment horizontal="center" vertical="center" wrapText="1"/>
    </xf>
    <xf numFmtId="0" fontId="5" fillId="0" borderId="28" xfId="2" applyFill="1" applyBorder="1"/>
    <xf numFmtId="0" fontId="5" fillId="0" borderId="28" xfId="2" applyFill="1" applyBorder="1" applyAlignment="1">
      <alignment horizontal="center"/>
    </xf>
    <xf numFmtId="0" fontId="5" fillId="0" borderId="0" xfId="2" applyFill="1" applyBorder="1"/>
    <xf numFmtId="0" fontId="5" fillId="0" borderId="0" xfId="2" applyFill="1" applyBorder="1" applyAlignment="1">
      <alignment horizontal="center"/>
    </xf>
    <xf numFmtId="0" fontId="13" fillId="0" borderId="28" xfId="2" applyFont="1" applyFill="1" applyBorder="1" applyAlignment="1">
      <alignment horizontal="center" vertical="center" wrapText="1"/>
    </xf>
    <xf numFmtId="0" fontId="5" fillId="0" borderId="28" xfId="2" applyFill="1" applyBorder="1" applyAlignment="1">
      <alignment horizontal="center" vertical="center"/>
    </xf>
    <xf numFmtId="0" fontId="6" fillId="0" borderId="28" xfId="2" applyFont="1" applyFill="1" applyBorder="1" applyAlignment="1">
      <alignment horizontal="center" vertical="center" wrapText="1"/>
    </xf>
    <xf numFmtId="164" fontId="5" fillId="0" borderId="28" xfId="2" applyNumberFormat="1" applyFill="1" applyBorder="1" applyAlignment="1">
      <alignment horizontal="center"/>
    </xf>
    <xf numFmtId="1" fontId="5" fillId="0" borderId="28" xfId="2" applyNumberFormat="1" applyFill="1" applyBorder="1" applyAlignment="1">
      <alignment horizontal="center"/>
    </xf>
    <xf numFmtId="0" fontId="7" fillId="0" borderId="0" xfId="2" applyFont="1" applyFill="1" applyBorder="1" applyAlignment="1" applyProtection="1">
      <alignment horizontal="left" vertical="center"/>
    </xf>
    <xf numFmtId="0" fontId="6" fillId="0" borderId="0" xfId="2" applyFont="1" applyFill="1" applyBorder="1" applyAlignment="1" applyProtection="1">
      <alignment horizontal="center" vertical="center" wrapText="1"/>
    </xf>
    <xf numFmtId="0" fontId="5" fillId="0" borderId="0" xfId="2" applyFont="1" applyFill="1" applyAlignment="1" applyProtection="1">
      <alignment horizontal="center" vertical="center"/>
    </xf>
    <xf numFmtId="0" fontId="5" fillId="0" borderId="0" xfId="0" applyFont="1" applyFill="1" applyAlignment="1" applyProtection="1">
      <alignment horizontal="center" vertical="center"/>
    </xf>
    <xf numFmtId="0" fontId="5" fillId="0" borderId="0" xfId="0" applyFont="1" applyAlignment="1" applyProtection="1">
      <alignment horizontal="center" vertical="center"/>
    </xf>
    <xf numFmtId="0" fontId="7" fillId="0" borderId="28" xfId="2" applyFont="1" applyBorder="1" applyAlignment="1" applyProtection="1">
      <alignment horizontal="center" vertical="center" wrapText="1"/>
    </xf>
    <xf numFmtId="164" fontId="6" fillId="0" borderId="28" xfId="2" applyNumberFormat="1" applyFont="1" applyBorder="1" applyAlignment="1" applyProtection="1">
      <alignment horizontal="center" vertical="center"/>
    </xf>
    <xf numFmtId="0" fontId="25" fillId="0" borderId="0" xfId="2" applyFont="1" applyBorder="1" applyAlignment="1">
      <alignment horizontal="center" vertical="center"/>
    </xf>
    <xf numFmtId="0" fontId="25" fillId="0" borderId="0" xfId="2" applyFont="1" applyAlignment="1" applyProtection="1"/>
    <xf numFmtId="2" fontId="5" fillId="6" borderId="2" xfId="2" applyNumberFormat="1" applyFill="1" applyBorder="1" applyProtection="1">
      <protection locked="0"/>
    </xf>
    <xf numFmtId="0" fontId="5" fillId="6" borderId="2" xfId="2" applyFill="1" applyBorder="1" applyProtection="1">
      <protection locked="0"/>
    </xf>
    <xf numFmtId="0" fontId="29" fillId="6" borderId="28" xfId="2" applyFont="1" applyFill="1" applyBorder="1" applyAlignment="1" applyProtection="1">
      <alignment horizontal="right"/>
      <protection locked="0"/>
    </xf>
    <xf numFmtId="2" fontId="29" fillId="6" borderId="28" xfId="2" applyNumberFormat="1" applyFont="1" applyFill="1" applyBorder="1" applyAlignment="1" applyProtection="1">
      <alignment horizontal="right"/>
      <protection locked="0"/>
    </xf>
    <xf numFmtId="0" fontId="6" fillId="6" borderId="28" xfId="2" applyFont="1" applyFill="1" applyBorder="1" applyAlignment="1" applyProtection="1">
      <alignment vertical="center"/>
      <protection locked="0"/>
    </xf>
    <xf numFmtId="1" fontId="6" fillId="0" borderId="0" xfId="2" applyNumberFormat="1" applyFont="1" applyBorder="1" applyAlignment="1" applyProtection="1">
      <alignment wrapText="1"/>
    </xf>
    <xf numFmtId="1" fontId="7" fillId="0" borderId="0" xfId="2" applyNumberFormat="1" applyFont="1" applyBorder="1" applyAlignment="1" applyProtection="1">
      <alignment wrapText="1"/>
    </xf>
    <xf numFmtId="0" fontId="7" fillId="0" borderId="0" xfId="2" applyFont="1" applyBorder="1" applyAlignment="1" applyProtection="1">
      <alignment vertical="center"/>
    </xf>
    <xf numFmtId="0" fontId="20" fillId="0" borderId="28" xfId="0" applyFont="1" applyBorder="1" applyAlignment="1" applyProtection="1">
      <alignment horizontal="center"/>
    </xf>
    <xf numFmtId="0" fontId="12" fillId="0" borderId="29" xfId="0" applyFont="1" applyBorder="1" applyAlignment="1" applyProtection="1">
      <alignment horizontal="center"/>
    </xf>
    <xf numFmtId="0" fontId="12" fillId="0" borderId="29" xfId="0" applyFont="1" applyBorder="1" applyAlignment="1" applyProtection="1">
      <alignment horizontal="center" wrapText="1"/>
    </xf>
    <xf numFmtId="0" fontId="34" fillId="0" borderId="0" xfId="0" applyFont="1" applyProtection="1"/>
    <xf numFmtId="1" fontId="4" fillId="0" borderId="0" xfId="0" applyNumberFormat="1" applyFont="1" applyFill="1" applyAlignment="1" applyProtection="1">
      <alignment horizontal="left"/>
    </xf>
    <xf numFmtId="1" fontId="4" fillId="0" borderId="0" xfId="0" applyNumberFormat="1" applyFont="1" applyFill="1" applyAlignment="1" applyProtection="1">
      <alignment horizontal="center"/>
    </xf>
    <xf numFmtId="2" fontId="0" fillId="0" borderId="0" xfId="0" applyNumberFormat="1" applyFont="1" applyFill="1" applyAlignment="1" applyProtection="1">
      <alignment horizontal="center"/>
    </xf>
    <xf numFmtId="10" fontId="4" fillId="0" borderId="0" xfId="4" applyNumberFormat="1" applyFont="1" applyFill="1" applyBorder="1" applyAlignment="1" applyProtection="1">
      <alignment horizontal="center"/>
    </xf>
    <xf numFmtId="0" fontId="0" fillId="0" borderId="0" xfId="0" applyFont="1" applyFill="1" applyAlignment="1" applyProtection="1">
      <alignment horizontal="center"/>
    </xf>
    <xf numFmtId="0" fontId="4" fillId="0" borderId="0" xfId="0" applyFont="1" applyFill="1" applyAlignment="1" applyProtection="1">
      <alignment horizontal="center"/>
    </xf>
    <xf numFmtId="2" fontId="0" fillId="27" borderId="28" xfId="0" applyNumberFormat="1" applyFont="1" applyFill="1" applyBorder="1" applyAlignment="1" applyProtection="1">
      <alignment horizontal="center"/>
      <protection locked="0"/>
    </xf>
    <xf numFmtId="2" fontId="0" fillId="0" borderId="28" xfId="0" applyNumberFormat="1" applyFont="1" applyFill="1" applyBorder="1" applyAlignment="1" applyProtection="1">
      <alignment horizontal="center"/>
    </xf>
    <xf numFmtId="10" fontId="0" fillId="27" borderId="28" xfId="0" applyNumberFormat="1" applyFont="1" applyFill="1" applyBorder="1" applyAlignment="1" applyProtection="1">
      <alignment horizontal="center"/>
      <protection locked="0"/>
    </xf>
    <xf numFmtId="0" fontId="4" fillId="0" borderId="0" xfId="0" applyFont="1" applyProtection="1"/>
    <xf numFmtId="10" fontId="0" fillId="0" borderId="0" xfId="0" applyNumberFormat="1" applyFont="1" applyFill="1" applyBorder="1" applyAlignment="1" applyProtection="1">
      <alignment horizontal="center"/>
    </xf>
    <xf numFmtId="1" fontId="0" fillId="28" borderId="42" xfId="0" applyNumberFormat="1" applyFont="1" applyFill="1" applyBorder="1" applyAlignment="1" applyProtection="1">
      <alignment horizontal="center"/>
    </xf>
    <xf numFmtId="1" fontId="4" fillId="28" borderId="42" xfId="0" applyNumberFormat="1" applyFont="1" applyFill="1" applyBorder="1" applyAlignment="1" applyProtection="1">
      <alignment horizontal="center"/>
    </xf>
    <xf numFmtId="0" fontId="4" fillId="28" borderId="28" xfId="0" applyFont="1" applyFill="1" applyBorder="1" applyAlignment="1" applyProtection="1">
      <alignment horizontal="left"/>
    </xf>
    <xf numFmtId="0" fontId="4" fillId="0" borderId="0" xfId="0" quotePrefix="1" applyFont="1" applyFill="1" applyAlignment="1" applyProtection="1">
      <alignment horizontal="left"/>
    </xf>
    <xf numFmtId="1" fontId="4" fillId="28" borderId="28" xfId="0" applyNumberFormat="1" applyFont="1" applyFill="1" applyBorder="1" applyAlignment="1" applyProtection="1">
      <alignment horizontal="center"/>
    </xf>
    <xf numFmtId="1" fontId="4" fillId="29" borderId="28" xfId="0" applyNumberFormat="1" applyFont="1" applyFill="1" applyBorder="1" applyAlignment="1" applyProtection="1">
      <alignment horizontal="center"/>
    </xf>
    <xf numFmtId="0" fontId="0" fillId="29" borderId="28" xfId="0" applyFont="1" applyFill="1" applyBorder="1" applyAlignment="1" applyProtection="1">
      <alignment horizontal="center"/>
    </xf>
    <xf numFmtId="0" fontId="4" fillId="29" borderId="28" xfId="0" applyFont="1" applyFill="1" applyBorder="1" applyAlignment="1" applyProtection="1">
      <alignment horizontal="center"/>
    </xf>
    <xf numFmtId="0" fontId="4" fillId="29" borderId="40" xfId="0" applyFont="1" applyFill="1" applyBorder="1" applyAlignment="1" applyProtection="1">
      <alignment horizontal="left"/>
    </xf>
    <xf numFmtId="1" fontId="4" fillId="27" borderId="28" xfId="0" applyNumberFormat="1" applyFont="1" applyFill="1" applyBorder="1" applyAlignment="1" applyProtection="1">
      <alignment horizontal="center"/>
      <protection locked="0"/>
    </xf>
    <xf numFmtId="1" fontId="0" fillId="30" borderId="28" xfId="0" applyNumberFormat="1" applyFont="1" applyFill="1" applyBorder="1" applyAlignment="1" applyProtection="1">
      <alignment horizontal="center"/>
    </xf>
    <xf numFmtId="1" fontId="4" fillId="30" borderId="28" xfId="0" applyNumberFormat="1" applyFont="1" applyFill="1" applyBorder="1" applyAlignment="1" applyProtection="1">
      <alignment horizontal="center"/>
    </xf>
    <xf numFmtId="1" fontId="0" fillId="31" borderId="28" xfId="0" applyNumberFormat="1" applyFont="1" applyFill="1" applyBorder="1" applyAlignment="1" applyProtection="1">
      <alignment horizontal="center"/>
    </xf>
    <xf numFmtId="1" fontId="4" fillId="31" borderId="28" xfId="0" applyNumberFormat="1" applyFont="1" applyFill="1" applyBorder="1" applyAlignment="1" applyProtection="1">
      <alignment horizontal="center"/>
    </xf>
    <xf numFmtId="1" fontId="4" fillId="0" borderId="0" xfId="0" quotePrefix="1" applyNumberFormat="1" applyFont="1" applyFill="1" applyAlignment="1" applyProtection="1"/>
    <xf numFmtId="0" fontId="4" fillId="0" borderId="0" xfId="0" applyFont="1" applyFill="1" applyProtection="1"/>
    <xf numFmtId="2" fontId="0" fillId="0" borderId="0" xfId="0" applyNumberFormat="1" applyFont="1" applyFill="1" applyProtection="1"/>
    <xf numFmtId="10" fontId="4" fillId="0" borderId="0" xfId="4" applyNumberFormat="1" applyFont="1" applyFill="1" applyBorder="1" applyAlignment="1" applyProtection="1"/>
    <xf numFmtId="2" fontId="4" fillId="0" borderId="0" xfId="0" applyNumberFormat="1" applyFont="1" applyFill="1" applyBorder="1" applyAlignment="1" applyProtection="1">
      <alignment horizontal="left"/>
    </xf>
    <xf numFmtId="1" fontId="0" fillId="0" borderId="0" xfId="0" applyNumberFormat="1" applyFont="1" applyFill="1" applyBorder="1" applyAlignment="1" applyProtection="1">
      <alignment horizontal="left"/>
    </xf>
    <xf numFmtId="0" fontId="0" fillId="0" borderId="0" xfId="0" applyFont="1" applyFill="1" applyBorder="1" applyAlignment="1" applyProtection="1">
      <alignment horizontal="left"/>
    </xf>
    <xf numFmtId="0" fontId="0" fillId="0" borderId="0" xfId="0" applyFont="1" applyFill="1" applyAlignment="1" applyProtection="1">
      <alignment horizontal="left"/>
    </xf>
    <xf numFmtId="2" fontId="4" fillId="0" borderId="0" xfId="0" applyNumberFormat="1" applyFont="1" applyFill="1" applyBorder="1" applyAlignment="1" applyProtection="1">
      <alignment horizontal="center"/>
    </xf>
    <xf numFmtId="1" fontId="0" fillId="0" borderId="0" xfId="0" applyNumberFormat="1" applyFont="1" applyFill="1" applyBorder="1" applyAlignment="1" applyProtection="1">
      <alignment horizontal="center"/>
    </xf>
    <xf numFmtId="0" fontId="0" fillId="0" borderId="0" xfId="0" applyFont="1" applyFill="1" applyBorder="1" applyAlignment="1" applyProtection="1">
      <alignment horizontal="center"/>
    </xf>
    <xf numFmtId="1" fontId="0" fillId="28" borderId="43" xfId="0" applyNumberFormat="1" applyFont="1" applyFill="1" applyBorder="1" applyAlignment="1" applyProtection="1">
      <alignment horizontal="center"/>
    </xf>
    <xf numFmtId="1" fontId="4" fillId="28" borderId="43" xfId="0" applyNumberFormat="1" applyFont="1" applyFill="1" applyBorder="1" applyAlignment="1" applyProtection="1">
      <alignment horizontal="center"/>
    </xf>
    <xf numFmtId="0" fontId="4" fillId="28" borderId="43" xfId="0" applyFont="1" applyFill="1" applyBorder="1" applyAlignment="1" applyProtection="1">
      <alignment horizontal="left"/>
    </xf>
    <xf numFmtId="0" fontId="4" fillId="0" borderId="0" xfId="0" applyFont="1" applyAlignment="1" applyProtection="1">
      <alignment horizontal="center"/>
    </xf>
    <xf numFmtId="2" fontId="4" fillId="0" borderId="0" xfId="0" applyNumberFormat="1" applyFont="1" applyFill="1" applyProtection="1"/>
    <xf numFmtId="1" fontId="0" fillId="32" borderId="43" xfId="0" applyNumberFormat="1" applyFont="1" applyFill="1" applyBorder="1" applyAlignment="1" applyProtection="1">
      <alignment horizontal="center"/>
    </xf>
    <xf numFmtId="1" fontId="4" fillId="32" borderId="43" xfId="0" applyNumberFormat="1" applyFont="1" applyFill="1" applyBorder="1" applyAlignment="1" applyProtection="1">
      <alignment horizontal="center"/>
    </xf>
    <xf numFmtId="1" fontId="4" fillId="32" borderId="43" xfId="0" applyNumberFormat="1" applyFont="1" applyFill="1" applyBorder="1" applyAlignment="1" applyProtection="1">
      <alignment horizontal="left"/>
    </xf>
    <xf numFmtId="0" fontId="4" fillId="0" borderId="0" xfId="0" quotePrefix="1" applyFont="1" applyAlignment="1" applyProtection="1">
      <alignment horizontal="left"/>
    </xf>
    <xf numFmtId="1" fontId="4" fillId="28" borderId="44" xfId="0" applyNumberFormat="1" applyFont="1" applyFill="1" applyBorder="1" applyAlignment="1" applyProtection="1">
      <alignment horizontal="center"/>
    </xf>
    <xf numFmtId="2" fontId="4" fillId="32" borderId="44" xfId="0" applyNumberFormat="1" applyFont="1" applyFill="1" applyBorder="1" applyAlignment="1" applyProtection="1">
      <alignment horizontal="center"/>
    </xf>
    <xf numFmtId="1" fontId="0" fillId="33" borderId="45" xfId="0" applyNumberFormat="1" applyFont="1" applyFill="1" applyBorder="1" applyAlignment="1" applyProtection="1">
      <alignment horizontal="center"/>
    </xf>
    <xf numFmtId="1" fontId="4" fillId="33" borderId="45" xfId="0" applyNumberFormat="1" applyFont="1" applyFill="1" applyBorder="1" applyAlignment="1" applyProtection="1">
      <alignment horizontal="center"/>
    </xf>
    <xf numFmtId="0" fontId="4" fillId="33" borderId="45" xfId="0" applyFont="1" applyFill="1" applyBorder="1" applyAlignment="1" applyProtection="1">
      <alignment horizontal="left"/>
    </xf>
    <xf numFmtId="164" fontId="4" fillId="28" borderId="46" xfId="0" applyNumberFormat="1" applyFont="1" applyFill="1" applyBorder="1" applyAlignment="1" applyProtection="1">
      <alignment horizontal="center"/>
    </xf>
    <xf numFmtId="164" fontId="4" fillId="32" borderId="46" xfId="0" applyNumberFormat="1" applyFont="1" applyFill="1" applyBorder="1" applyAlignment="1" applyProtection="1">
      <alignment horizontal="center"/>
    </xf>
    <xf numFmtId="1" fontId="43" fillId="0" borderId="46" xfId="0" applyNumberFormat="1" applyFont="1" applyBorder="1" applyAlignment="1" applyProtection="1">
      <alignment horizontal="center"/>
    </xf>
    <xf numFmtId="1" fontId="44" fillId="0" borderId="46" xfId="0" applyNumberFormat="1" applyFont="1" applyBorder="1" applyAlignment="1" applyProtection="1">
      <alignment horizontal="center"/>
    </xf>
    <xf numFmtId="1" fontId="0" fillId="0" borderId="0" xfId="0" applyNumberFormat="1" applyFont="1" applyAlignment="1" applyProtection="1">
      <alignment horizontal="center"/>
    </xf>
    <xf numFmtId="164" fontId="4" fillId="28" borderId="28" xfId="0" applyNumberFormat="1" applyFont="1" applyFill="1" applyBorder="1" applyAlignment="1" applyProtection="1">
      <alignment horizontal="center"/>
    </xf>
    <xf numFmtId="2" fontId="4" fillId="32" borderId="28" xfId="0" applyNumberFormat="1" applyFont="1" applyFill="1" applyBorder="1" applyAlignment="1" applyProtection="1">
      <alignment horizontal="center"/>
    </xf>
    <xf numFmtId="1" fontId="43" fillId="22" borderId="28" xfId="0" applyNumberFormat="1" applyFont="1" applyFill="1" applyBorder="1" applyAlignment="1" applyProtection="1">
      <alignment horizontal="center"/>
    </xf>
    <xf numFmtId="1" fontId="44" fillId="22" borderId="28" xfId="0" applyNumberFormat="1" applyFont="1" applyFill="1" applyBorder="1" applyAlignment="1" applyProtection="1">
      <alignment horizontal="center"/>
    </xf>
    <xf numFmtId="1" fontId="4" fillId="32" borderId="28" xfId="0" applyNumberFormat="1" applyFont="1" applyFill="1" applyBorder="1" applyAlignment="1" applyProtection="1">
      <alignment horizontal="center"/>
    </xf>
    <xf numFmtId="1" fontId="43" fillId="0" borderId="28" xfId="0" applyNumberFormat="1" applyFont="1" applyBorder="1" applyAlignment="1" applyProtection="1">
      <alignment horizontal="center"/>
    </xf>
    <xf numFmtId="1" fontId="44" fillId="0" borderId="28" xfId="0" applyNumberFormat="1" applyFont="1" applyBorder="1" applyAlignment="1" applyProtection="1">
      <alignment horizontal="center"/>
    </xf>
    <xf numFmtId="164" fontId="4" fillId="32" borderId="28" xfId="0" applyNumberFormat="1" applyFont="1" applyFill="1" applyBorder="1" applyAlignment="1" applyProtection="1">
      <alignment horizontal="center"/>
    </xf>
    <xf numFmtId="2" fontId="4" fillId="0" borderId="0" xfId="0" applyNumberFormat="1" applyFont="1" applyFill="1" applyAlignment="1" applyProtection="1">
      <alignment horizontal="center"/>
    </xf>
    <xf numFmtId="49" fontId="42" fillId="0" borderId="0" xfId="0" applyNumberFormat="1" applyFont="1" applyFill="1"/>
    <xf numFmtId="0" fontId="42" fillId="0" borderId="0" xfId="0" applyFont="1" applyFill="1"/>
    <xf numFmtId="0" fontId="42" fillId="0" borderId="0" xfId="0" applyFont="1" applyFill="1" applyAlignment="1">
      <alignment horizontal="center"/>
    </xf>
    <xf numFmtId="0" fontId="29" fillId="0" borderId="28" xfId="2" applyFont="1" applyFill="1" applyBorder="1" applyAlignment="1">
      <alignment horizontal="center" wrapText="1"/>
    </xf>
    <xf numFmtId="9" fontId="29" fillId="0" borderId="3" xfId="2" applyNumberFormat="1" applyFont="1" applyFill="1" applyBorder="1" applyAlignment="1">
      <alignment horizontal="center" wrapText="1"/>
    </xf>
    <xf numFmtId="2" fontId="29" fillId="0" borderId="3" xfId="2" applyNumberFormat="1" applyFont="1" applyFill="1" applyBorder="1" applyAlignment="1">
      <alignment horizontal="center" wrapText="1"/>
    </xf>
    <xf numFmtId="0" fontId="29" fillId="0" borderId="3" xfId="2" applyFont="1" applyFill="1" applyBorder="1" applyAlignment="1">
      <alignment horizontal="center" wrapText="1"/>
    </xf>
    <xf numFmtId="49" fontId="29" fillId="0" borderId="3" xfId="2" applyNumberFormat="1" applyFont="1" applyFill="1" applyBorder="1" applyAlignment="1">
      <alignment horizontal="center" wrapText="1"/>
    </xf>
    <xf numFmtId="49" fontId="42" fillId="34" borderId="28" xfId="0" applyNumberFormat="1" applyFont="1" applyFill="1" applyBorder="1" applyAlignment="1">
      <alignment horizontal="center"/>
    </xf>
    <xf numFmtId="2" fontId="29" fillId="34" borderId="28" xfId="2" applyNumberFormat="1" applyFont="1" applyFill="1" applyBorder="1" applyAlignment="1">
      <alignment horizontal="center"/>
    </xf>
    <xf numFmtId="0" fontId="42" fillId="34" borderId="28" xfId="0" applyFont="1" applyFill="1" applyBorder="1" applyAlignment="1">
      <alignment horizontal="center"/>
    </xf>
    <xf numFmtId="164" fontId="29" fillId="34" borderId="28" xfId="2" applyNumberFormat="1" applyFont="1" applyFill="1" applyBorder="1" applyAlignment="1">
      <alignment horizontal="center"/>
    </xf>
    <xf numFmtId="1" fontId="29" fillId="34" borderId="28" xfId="2" applyNumberFormat="1" applyFont="1" applyFill="1" applyBorder="1" applyAlignment="1">
      <alignment horizontal="center"/>
    </xf>
    <xf numFmtId="0" fontId="29" fillId="34" borderId="28" xfId="2" applyFont="1" applyFill="1" applyBorder="1" applyAlignment="1">
      <alignment horizontal="center"/>
    </xf>
    <xf numFmtId="0" fontId="29" fillId="34" borderId="2" xfId="2" applyFont="1" applyFill="1" applyBorder="1" applyAlignment="1">
      <alignment horizontal="center"/>
    </xf>
    <xf numFmtId="166" fontId="29" fillId="34" borderId="28" xfId="2" applyNumberFormat="1" applyFont="1" applyFill="1" applyBorder="1" applyAlignment="1">
      <alignment horizontal="center"/>
    </xf>
    <xf numFmtId="49" fontId="29" fillId="34" borderId="28" xfId="2" applyNumberFormat="1" applyFont="1" applyFill="1" applyBorder="1" applyAlignment="1">
      <alignment horizontal="center"/>
    </xf>
    <xf numFmtId="49" fontId="42" fillId="0" borderId="28" xfId="0" applyNumberFormat="1" applyFont="1" applyFill="1" applyBorder="1" applyAlignment="1">
      <alignment horizontal="center"/>
    </xf>
    <xf numFmtId="2" fontId="29" fillId="0" borderId="28" xfId="2" applyNumberFormat="1" applyFont="1" applyFill="1" applyBorder="1" applyAlignment="1">
      <alignment horizontal="center"/>
    </xf>
    <xf numFmtId="0" fontId="42" fillId="0" borderId="28" xfId="0" applyFont="1" applyFill="1" applyBorder="1" applyAlignment="1">
      <alignment horizontal="center"/>
    </xf>
    <xf numFmtId="164" fontId="29" fillId="0" borderId="28" xfId="2" applyNumberFormat="1" applyFont="1" applyFill="1" applyBorder="1" applyAlignment="1">
      <alignment horizontal="center"/>
    </xf>
    <xf numFmtId="1" fontId="29" fillId="0" borderId="28" xfId="2" applyNumberFormat="1" applyFont="1" applyFill="1" applyBorder="1" applyAlignment="1">
      <alignment horizontal="center"/>
    </xf>
    <xf numFmtId="0" fontId="29" fillId="0" borderId="28" xfId="2" applyFont="1" applyFill="1" applyBorder="1" applyAlignment="1">
      <alignment horizontal="center"/>
    </xf>
    <xf numFmtId="0" fontId="29" fillId="0" borderId="2" xfId="2" applyFont="1" applyFill="1" applyBorder="1" applyAlignment="1">
      <alignment horizontal="center"/>
    </xf>
    <xf numFmtId="166" fontId="29" fillId="0" borderId="28" xfId="2" applyNumberFormat="1" applyFont="1" applyFill="1" applyBorder="1" applyAlignment="1">
      <alignment horizontal="center"/>
    </xf>
    <xf numFmtId="49" fontId="29" fillId="0" borderId="28" xfId="2" applyNumberFormat="1" applyFont="1" applyFill="1" applyBorder="1" applyAlignment="1">
      <alignment horizontal="center"/>
    </xf>
    <xf numFmtId="2" fontId="42" fillId="0" borderId="0" xfId="0" applyNumberFormat="1" applyFont="1" applyFill="1"/>
    <xf numFmtId="43" fontId="42" fillId="0" borderId="0" xfId="1" applyFont="1" applyFill="1"/>
    <xf numFmtId="0" fontId="26" fillId="0" borderId="0" xfId="0" applyFont="1" applyAlignment="1">
      <alignment horizontal="left"/>
    </xf>
    <xf numFmtId="0" fontId="26" fillId="0" borderId="0" xfId="0" applyFont="1"/>
    <xf numFmtId="0" fontId="26" fillId="0" borderId="0" xfId="2" applyFont="1" applyFill="1"/>
    <xf numFmtId="0" fontId="26" fillId="0" borderId="0" xfId="2" applyFont="1" applyFill="1" applyBorder="1"/>
    <xf numFmtId="0" fontId="26" fillId="0" borderId="0" xfId="2" applyFont="1"/>
    <xf numFmtId="0" fontId="24" fillId="0" borderId="0" xfId="2" applyFont="1" applyFill="1" applyBorder="1" applyAlignment="1">
      <alignment vertical="center"/>
    </xf>
    <xf numFmtId="0" fontId="24" fillId="0" borderId="28" xfId="2" applyFont="1" applyBorder="1" applyAlignment="1">
      <alignment horizontal="center" wrapText="1"/>
    </xf>
    <xf numFmtId="2" fontId="24" fillId="0" borderId="28" xfId="2" applyNumberFormat="1" applyFont="1" applyBorder="1" applyAlignment="1">
      <alignment horizontal="center" wrapText="1"/>
    </xf>
    <xf numFmtId="9" fontId="24" fillId="0" borderId="28" xfId="2" applyNumberFormat="1" applyFont="1" applyBorder="1" applyAlignment="1">
      <alignment horizontal="center" wrapText="1"/>
    </xf>
    <xf numFmtId="0" fontId="26" fillId="0" borderId="0" xfId="2" applyFont="1" applyBorder="1"/>
    <xf numFmtId="0" fontId="24" fillId="5" borderId="28" xfId="2" applyFont="1" applyFill="1" applyBorder="1" applyAlignment="1">
      <alignment horizontal="center"/>
    </xf>
    <xf numFmtId="1" fontId="24" fillId="5" borderId="28" xfId="2" applyNumberFormat="1" applyFont="1" applyFill="1" applyBorder="1" applyAlignment="1">
      <alignment horizontal="center"/>
    </xf>
    <xf numFmtId="0" fontId="24" fillId="0" borderId="28" xfId="2" applyFont="1" applyBorder="1" applyAlignment="1">
      <alignment horizontal="center"/>
    </xf>
    <xf numFmtId="1" fontId="24" fillId="0" borderId="28" xfId="2" applyNumberFormat="1" applyFont="1" applyBorder="1" applyAlignment="1">
      <alignment horizontal="center"/>
    </xf>
    <xf numFmtId="0" fontId="29" fillId="0" borderId="0" xfId="2" applyFont="1" applyBorder="1" applyAlignment="1">
      <alignment wrapText="1"/>
    </xf>
    <xf numFmtId="0" fontId="21" fillId="0" borderId="27" xfId="2" applyFont="1" applyBorder="1" applyAlignment="1">
      <alignment horizontal="center" wrapText="1"/>
    </xf>
    <xf numFmtId="2" fontId="21" fillId="0" borderId="27" xfId="2" applyNumberFormat="1" applyFont="1" applyBorder="1" applyAlignment="1">
      <alignment horizontal="center" wrapText="1"/>
    </xf>
    <xf numFmtId="9" fontId="21" fillId="0" borderId="27" xfId="2" applyNumberFormat="1" applyFont="1" applyBorder="1" applyAlignment="1">
      <alignment horizontal="center" wrapText="1"/>
    </xf>
    <xf numFmtId="0" fontId="21" fillId="5" borderId="2" xfId="2" applyFont="1" applyFill="1" applyBorder="1" applyAlignment="1">
      <alignment horizontal="center"/>
    </xf>
    <xf numFmtId="164" fontId="21" fillId="5" borderId="2" xfId="2" applyNumberFormat="1" applyFont="1" applyFill="1" applyBorder="1" applyAlignment="1">
      <alignment horizontal="center"/>
    </xf>
    <xf numFmtId="1" fontId="21" fillId="5" borderId="2" xfId="2" applyNumberFormat="1" applyFont="1" applyFill="1" applyBorder="1" applyAlignment="1">
      <alignment horizontal="center"/>
    </xf>
    <xf numFmtId="166" fontId="21" fillId="5" borderId="2" xfId="2" applyNumberFormat="1" applyFont="1" applyFill="1" applyBorder="1" applyAlignment="1">
      <alignment horizontal="center"/>
    </xf>
    <xf numFmtId="0" fontId="21" fillId="0" borderId="2" xfId="2" applyFont="1" applyBorder="1" applyAlignment="1">
      <alignment horizontal="center"/>
    </xf>
    <xf numFmtId="164" fontId="21" fillId="0" borderId="2" xfId="2" applyNumberFormat="1" applyFont="1" applyBorder="1" applyAlignment="1">
      <alignment horizontal="center"/>
    </xf>
    <xf numFmtId="1" fontId="21" fillId="0" borderId="2" xfId="2" applyNumberFormat="1" applyFont="1" applyBorder="1" applyAlignment="1">
      <alignment horizontal="center"/>
    </xf>
    <xf numFmtId="166" fontId="21" fillId="0" borderId="2" xfId="2" applyNumberFormat="1" applyFont="1" applyBorder="1" applyAlignment="1">
      <alignment horizontal="center"/>
    </xf>
    <xf numFmtId="0" fontId="0" fillId="20" borderId="0" xfId="0" applyFont="1" applyFill="1" applyProtection="1">
      <protection locked="0"/>
    </xf>
    <xf numFmtId="0" fontId="0" fillId="20" borderId="0" xfId="0" applyFont="1" applyFill="1" applyAlignment="1" applyProtection="1">
      <alignment horizontal="center"/>
      <protection locked="0"/>
    </xf>
    <xf numFmtId="0" fontId="0" fillId="20" borderId="47" xfId="0" applyFont="1" applyFill="1" applyBorder="1" applyProtection="1">
      <protection locked="0"/>
    </xf>
    <xf numFmtId="0" fontId="0" fillId="26" borderId="28" xfId="0" applyFont="1" applyFill="1" applyBorder="1" applyAlignment="1" applyProtection="1">
      <alignment horizontal="center"/>
    </xf>
    <xf numFmtId="0" fontId="0" fillId="0" borderId="28" xfId="0" applyFont="1" applyFill="1" applyBorder="1" applyAlignment="1" applyProtection="1">
      <alignment horizontal="center"/>
    </xf>
    <xf numFmtId="1" fontId="0" fillId="0" borderId="28" xfId="0" applyNumberFormat="1" applyFont="1" applyBorder="1" applyAlignment="1" applyProtection="1">
      <alignment horizontal="center"/>
    </xf>
    <xf numFmtId="1" fontId="0" fillId="26" borderId="28" xfId="0" applyNumberFormat="1" applyFont="1" applyFill="1" applyBorder="1" applyAlignment="1" applyProtection="1">
      <alignment horizontal="center"/>
    </xf>
    <xf numFmtId="1" fontId="0" fillId="0" borderId="28" xfId="0" applyNumberFormat="1" applyFont="1" applyFill="1" applyBorder="1" applyAlignment="1" applyProtection="1">
      <alignment horizontal="center"/>
    </xf>
    <xf numFmtId="0" fontId="37" fillId="0" borderId="0" xfId="0" applyFont="1" applyFill="1" applyBorder="1" applyAlignment="1" applyProtection="1">
      <alignment horizontal="left" vertical="center"/>
    </xf>
    <xf numFmtId="0" fontId="0" fillId="0" borderId="0" xfId="0" applyFont="1" applyFill="1" applyAlignment="1" applyProtection="1">
      <alignment horizontal="center" vertical="center"/>
    </xf>
    <xf numFmtId="0" fontId="0" fillId="20" borderId="28"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xf>
    <xf numFmtId="0" fontId="37" fillId="0" borderId="28" xfId="0" applyFont="1" applyFill="1" applyBorder="1" applyAlignment="1" applyProtection="1">
      <alignment horizontal="center" vertical="center"/>
    </xf>
    <xf numFmtId="1" fontId="0" fillId="20" borderId="28" xfId="0" applyNumberFormat="1" applyFont="1" applyFill="1" applyBorder="1" applyAlignment="1" applyProtection="1">
      <alignment horizontal="center" vertical="center"/>
      <protection locked="0"/>
    </xf>
    <xf numFmtId="1" fontId="0" fillId="0" borderId="0" xfId="0" applyNumberFormat="1"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1" fontId="0" fillId="0" borderId="28" xfId="0" applyNumberFormat="1" applyFont="1" applyBorder="1" applyAlignment="1" applyProtection="1">
      <alignment horizontal="center" vertical="center"/>
    </xf>
    <xf numFmtId="1" fontId="0" fillId="0" borderId="0" xfId="0" applyNumberFormat="1" applyFont="1" applyBorder="1" applyProtection="1"/>
    <xf numFmtId="1" fontId="37" fillId="0" borderId="0" xfId="0" applyNumberFormat="1" applyFont="1" applyFill="1" applyBorder="1" applyAlignment="1" applyProtection="1">
      <alignment horizontal="left" vertical="center"/>
    </xf>
    <xf numFmtId="1" fontId="0" fillId="0" borderId="0" xfId="0" applyNumberFormat="1" applyFont="1" applyFill="1" applyBorder="1" applyAlignment="1" applyProtection="1"/>
    <xf numFmtId="0" fontId="0" fillId="20" borderId="28" xfId="0" applyFont="1" applyFill="1" applyBorder="1" applyAlignment="1" applyProtection="1">
      <alignment horizontal="center"/>
      <protection locked="0"/>
    </xf>
    <xf numFmtId="0" fontId="37" fillId="0" borderId="0" xfId="0" applyFont="1" applyFill="1" applyProtection="1"/>
    <xf numFmtId="0" fontId="0" fillId="0" borderId="0" xfId="0" applyFont="1" applyFill="1" applyBorder="1" applyAlignment="1" applyProtection="1">
      <alignment horizontal="left" vertical="center"/>
    </xf>
    <xf numFmtId="2" fontId="51" fillId="20" borderId="28" xfId="0" applyNumberFormat="1" applyFont="1" applyFill="1" applyBorder="1" applyProtection="1">
      <protection locked="0"/>
    </xf>
    <xf numFmtId="0" fontId="0" fillId="20" borderId="28" xfId="0" applyFill="1" applyBorder="1" applyAlignment="1" applyProtection="1">
      <alignment horizontal="center"/>
      <protection locked="0"/>
    </xf>
    <xf numFmtId="0" fontId="4" fillId="0" borderId="0" xfId="0" applyFont="1" applyAlignment="1" applyProtection="1">
      <alignment horizontal="left"/>
    </xf>
    <xf numFmtId="0" fontId="26" fillId="20" borderId="28" xfId="0" applyFont="1" applyFill="1" applyBorder="1" applyAlignment="1" applyProtection="1">
      <alignment horizontal="center"/>
      <protection locked="0"/>
    </xf>
    <xf numFmtId="0" fontId="26" fillId="6" borderId="2" xfId="2" applyFont="1" applyFill="1" applyBorder="1" applyProtection="1">
      <protection locked="0"/>
    </xf>
    <xf numFmtId="166" fontId="26" fillId="6" borderId="2" xfId="2" applyNumberFormat="1" applyFont="1" applyFill="1" applyBorder="1" applyProtection="1">
      <protection locked="0"/>
    </xf>
    <xf numFmtId="0" fontId="26" fillId="0" borderId="28" xfId="0" applyFont="1" applyBorder="1" applyProtection="1"/>
    <xf numFmtId="0" fontId="26" fillId="0" borderId="0" xfId="0" applyFont="1" applyFill="1" applyBorder="1" applyAlignment="1" applyProtection="1">
      <alignment horizontal="center"/>
    </xf>
    <xf numFmtId="0" fontId="26" fillId="0" borderId="0" xfId="0" applyFont="1" applyFill="1" applyBorder="1" applyProtection="1"/>
    <xf numFmtId="0" fontId="44" fillId="0" borderId="41" xfId="0" applyFont="1" applyBorder="1" applyProtection="1"/>
    <xf numFmtId="0" fontId="44" fillId="0" borderId="0" xfId="0" applyFont="1" applyProtection="1"/>
    <xf numFmtId="0" fontId="26" fillId="0" borderId="0" xfId="0" applyFont="1" applyAlignment="1" applyProtection="1">
      <alignment horizontal="center"/>
    </xf>
    <xf numFmtId="0" fontId="4" fillId="0" borderId="0" xfId="0" applyFont="1" applyFill="1" applyBorder="1" applyAlignment="1" applyProtection="1">
      <alignment horizontal="center" vertical="center" wrapText="1"/>
    </xf>
    <xf numFmtId="0" fontId="4" fillId="0" borderId="0" xfId="0" applyFont="1" applyAlignment="1" applyProtection="1">
      <alignment horizontal="center" vertical="center" wrapText="1"/>
    </xf>
    <xf numFmtId="0" fontId="4" fillId="0" borderId="0" xfId="0" applyFont="1" applyBorder="1" applyAlignment="1" applyProtection="1">
      <alignment horizontal="center" vertical="center" wrapText="1"/>
    </xf>
    <xf numFmtId="0" fontId="26" fillId="20" borderId="28" xfId="0" applyFont="1" applyFill="1" applyBorder="1" applyProtection="1">
      <protection locked="0"/>
    </xf>
    <xf numFmtId="0" fontId="26" fillId="0" borderId="28" xfId="0" applyFont="1" applyFill="1" applyBorder="1" applyProtection="1"/>
    <xf numFmtId="0" fontId="43" fillId="0" borderId="0" xfId="0" applyFont="1" applyProtection="1"/>
    <xf numFmtId="0" fontId="44" fillId="0" borderId="41" xfId="0" applyFont="1" applyFill="1" applyBorder="1" applyProtection="1"/>
    <xf numFmtId="0" fontId="44" fillId="0" borderId="0" xfId="0" applyFont="1" applyFill="1" applyBorder="1" applyProtection="1"/>
    <xf numFmtId="0" fontId="4" fillId="0" borderId="48" xfId="0" applyFont="1" applyBorder="1" applyProtection="1"/>
    <xf numFmtId="0" fontId="4" fillId="0" borderId="0" xfId="0" applyFont="1" applyBorder="1" applyProtection="1"/>
    <xf numFmtId="49" fontId="4" fillId="0" borderId="28" xfId="0" applyNumberFormat="1" applyFont="1" applyFill="1" applyBorder="1" applyAlignment="1" applyProtection="1">
      <alignment horizontal="center"/>
    </xf>
    <xf numFmtId="49" fontId="26" fillId="0" borderId="28" xfId="0" applyNumberFormat="1" applyFont="1" applyFill="1" applyBorder="1" applyAlignment="1" applyProtection="1">
      <alignment horizontal="center"/>
    </xf>
    <xf numFmtId="167" fontId="26" fillId="0" borderId="28" xfId="0" applyNumberFormat="1" applyFont="1" applyFill="1" applyBorder="1" applyAlignment="1" applyProtection="1">
      <alignment horizontal="center"/>
    </xf>
    <xf numFmtId="0" fontId="0" fillId="24" borderId="17" xfId="0" applyFill="1" applyBorder="1" applyProtection="1">
      <protection locked="0"/>
    </xf>
    <xf numFmtId="0" fontId="24" fillId="7" borderId="0" xfId="2" applyFont="1" applyFill="1" applyBorder="1" applyAlignment="1" applyProtection="1">
      <alignment horizontal="left"/>
    </xf>
    <xf numFmtId="0" fontId="6" fillId="0" borderId="0" xfId="2" applyFont="1" applyBorder="1" applyAlignment="1" applyProtection="1">
      <alignment horizontal="center" vertical="center" wrapText="1"/>
    </xf>
    <xf numFmtId="0" fontId="7" fillId="0" borderId="28" xfId="2" applyFont="1" applyBorder="1" applyAlignment="1" applyProtection="1">
      <alignment horizontal="center" vertical="center"/>
    </xf>
    <xf numFmtId="0" fontId="0" fillId="0" borderId="28" xfId="0" applyFont="1" applyBorder="1" applyAlignment="1" applyProtection="1">
      <alignment horizontal="center"/>
    </xf>
    <xf numFmtId="0" fontId="5" fillId="0" borderId="28" xfId="2" applyFont="1" applyBorder="1" applyAlignment="1" applyProtection="1">
      <alignment horizontal="center" vertical="center"/>
    </xf>
    <xf numFmtId="49" fontId="6" fillId="0" borderId="28" xfId="2" applyNumberFormat="1" applyFont="1" applyBorder="1" applyAlignment="1" applyProtection="1">
      <alignment horizontal="center" vertical="center"/>
    </xf>
    <xf numFmtId="49" fontId="6" fillId="7" borderId="28" xfId="2" applyNumberFormat="1" applyFont="1" applyFill="1" applyBorder="1" applyAlignment="1" applyProtection="1">
      <alignment horizontal="center" vertical="center"/>
    </xf>
    <xf numFmtId="1" fontId="6" fillId="8" borderId="28" xfId="2" applyNumberFormat="1" applyFont="1" applyFill="1" applyBorder="1" applyAlignment="1" applyProtection="1">
      <alignment horizontal="center" vertical="center"/>
    </xf>
    <xf numFmtId="0" fontId="4" fillId="0" borderId="28" xfId="2" applyFont="1" applyBorder="1" applyAlignment="1" applyProtection="1">
      <alignment horizontal="center" vertical="center"/>
    </xf>
    <xf numFmtId="0" fontId="6" fillId="7" borderId="28" xfId="2" applyFont="1" applyFill="1" applyBorder="1" applyAlignment="1" applyProtection="1">
      <alignment horizontal="center" vertical="center"/>
    </xf>
    <xf numFmtId="0" fontId="6" fillId="8" borderId="28" xfId="2" applyFont="1" applyFill="1" applyBorder="1" applyAlignment="1" applyProtection="1">
      <alignment horizontal="center" vertical="center"/>
    </xf>
    <xf numFmtId="0" fontId="6" fillId="0" borderId="27" xfId="2" applyFont="1" applyBorder="1" applyAlignment="1" applyProtection="1">
      <alignment horizontal="center" vertical="center"/>
    </xf>
    <xf numFmtId="1" fontId="6" fillId="0" borderId="27" xfId="2" applyNumberFormat="1" applyFont="1" applyBorder="1" applyAlignment="1" applyProtection="1">
      <alignment horizontal="center" vertical="center"/>
    </xf>
    <xf numFmtId="1" fontId="6" fillId="0" borderId="2" xfId="2" applyNumberFormat="1" applyFont="1" applyBorder="1" applyAlignment="1" applyProtection="1">
      <alignment horizontal="center" vertical="center"/>
    </xf>
    <xf numFmtId="49" fontId="6" fillId="0" borderId="0" xfId="2" applyNumberFormat="1" applyFont="1" applyBorder="1" applyAlignment="1" applyProtection="1">
      <alignment horizontal="center" vertical="center"/>
    </xf>
    <xf numFmtId="0" fontId="6" fillId="0" borderId="0" xfId="2" applyFont="1" applyBorder="1" applyAlignment="1" applyProtection="1">
      <alignment horizontal="center" vertical="center"/>
    </xf>
    <xf numFmtId="17" fontId="6" fillId="0" borderId="2" xfId="2" applyNumberFormat="1" applyFont="1" applyBorder="1" applyAlignment="1" applyProtection="1">
      <alignment horizontal="center" vertical="center"/>
    </xf>
    <xf numFmtId="49" fontId="7" fillId="0" borderId="28" xfId="2" applyNumberFormat="1" applyFont="1" applyBorder="1" applyAlignment="1" applyProtection="1">
      <alignment horizontal="center" vertical="center"/>
    </xf>
    <xf numFmtId="0" fontId="39" fillId="0" borderId="28" xfId="0" applyFont="1" applyBorder="1" applyAlignment="1" applyProtection="1">
      <alignment horizontal="center"/>
    </xf>
    <xf numFmtId="0" fontId="38" fillId="0" borderId="28" xfId="0" applyFont="1" applyBorder="1" applyProtection="1"/>
    <xf numFmtId="0" fontId="39" fillId="21" borderId="28" xfId="0" applyFont="1" applyFill="1" applyBorder="1" applyAlignment="1" applyProtection="1">
      <alignment horizontal="center"/>
    </xf>
    <xf numFmtId="0" fontId="39" fillId="23" borderId="28" xfId="0" applyFont="1" applyFill="1" applyBorder="1" applyAlignment="1" applyProtection="1">
      <alignment horizontal="center"/>
    </xf>
    <xf numFmtId="0" fontId="38" fillId="21" borderId="28" xfId="0" applyFont="1" applyFill="1" applyBorder="1" applyAlignment="1" applyProtection="1">
      <alignment horizontal="center"/>
    </xf>
    <xf numFmtId="0" fontId="38" fillId="23" borderId="28" xfId="0" quotePrefix="1" applyFont="1" applyFill="1" applyBorder="1" applyAlignment="1" applyProtection="1">
      <alignment horizontal="center"/>
    </xf>
    <xf numFmtId="0" fontId="38" fillId="23" borderId="28" xfId="0" applyFont="1" applyFill="1" applyBorder="1" applyAlignment="1" applyProtection="1">
      <alignment horizontal="center"/>
    </xf>
    <xf numFmtId="0" fontId="54" fillId="0" borderId="0" xfId="2" applyFont="1" applyBorder="1" applyAlignment="1" applyProtection="1">
      <alignment horizontal="left" vertical="center"/>
    </xf>
    <xf numFmtId="0" fontId="7" fillId="0" borderId="10" xfId="2" applyFont="1" applyBorder="1" applyAlignment="1" applyProtection="1">
      <alignment horizontal="center"/>
    </xf>
    <xf numFmtId="0" fontId="7" fillId="0" borderId="11" xfId="2" applyFont="1" applyBorder="1" applyAlignment="1" applyProtection="1">
      <alignment horizontal="center"/>
    </xf>
    <xf numFmtId="0" fontId="8" fillId="0" borderId="11" xfId="2" applyFont="1" applyBorder="1" applyProtection="1"/>
    <xf numFmtId="0" fontId="7" fillId="0" borderId="12" xfId="2" applyFont="1" applyBorder="1" applyAlignment="1" applyProtection="1">
      <alignment horizontal="center"/>
    </xf>
    <xf numFmtId="0" fontId="6" fillId="0" borderId="13" xfId="2" applyFont="1" applyBorder="1" applyAlignment="1" applyProtection="1">
      <alignment horizontal="center"/>
    </xf>
    <xf numFmtId="165" fontId="6" fillId="0" borderId="2" xfId="2" applyNumberFormat="1" applyFont="1" applyBorder="1" applyAlignment="1" applyProtection="1">
      <alignment horizontal="center"/>
    </xf>
    <xf numFmtId="0" fontId="6" fillId="9" borderId="14" xfId="2" applyFont="1" applyFill="1" applyBorder="1" applyAlignment="1" applyProtection="1">
      <alignment horizontal="right"/>
    </xf>
    <xf numFmtId="0" fontId="6" fillId="9" borderId="7" xfId="2" applyFont="1" applyFill="1" applyBorder="1" applyAlignment="1" applyProtection="1">
      <alignment horizontal="center"/>
    </xf>
    <xf numFmtId="49" fontId="6" fillId="9" borderId="7" xfId="2" applyNumberFormat="1" applyFont="1" applyFill="1" applyBorder="1" applyAlignment="1" applyProtection="1">
      <alignment horizontal="center" vertical="center"/>
    </xf>
    <xf numFmtId="2" fontId="7" fillId="9" borderId="7" xfId="2" applyNumberFormat="1" applyFont="1" applyFill="1" applyBorder="1" applyAlignment="1" applyProtection="1">
      <alignment horizontal="right"/>
    </xf>
    <xf numFmtId="0" fontId="6" fillId="9" borderId="15" xfId="2" applyFont="1" applyFill="1" applyBorder="1" applyAlignment="1" applyProtection="1">
      <alignment horizontal="left"/>
    </xf>
    <xf numFmtId="0" fontId="6" fillId="9" borderId="4" xfId="2" applyFont="1" applyFill="1" applyBorder="1" applyAlignment="1" applyProtection="1">
      <alignment horizontal="right" vertical="center"/>
    </xf>
    <xf numFmtId="0" fontId="6" fillId="9" borderId="1" xfId="2" applyFont="1" applyFill="1" applyBorder="1" applyAlignment="1" applyProtection="1">
      <alignment horizontal="center"/>
    </xf>
    <xf numFmtId="49" fontId="6" fillId="9" borderId="0" xfId="2" applyNumberFormat="1" applyFont="1" applyFill="1" applyBorder="1" applyAlignment="1" applyProtection="1">
      <alignment horizontal="center" vertical="center"/>
    </xf>
    <xf numFmtId="2" fontId="7" fillId="9" borderId="0" xfId="2" applyNumberFormat="1" applyFont="1" applyFill="1" applyBorder="1" applyAlignment="1" applyProtection="1">
      <alignment horizontal="center" vertical="center"/>
    </xf>
    <xf numFmtId="0" fontId="6" fillId="9" borderId="6" xfId="2" applyFont="1" applyFill="1" applyBorder="1" applyAlignment="1" applyProtection="1">
      <alignment horizontal="center" vertical="center"/>
    </xf>
    <xf numFmtId="0" fontId="6" fillId="9" borderId="16" xfId="2" applyFont="1" applyFill="1" applyBorder="1" applyAlignment="1" applyProtection="1">
      <alignment horizontal="right"/>
    </xf>
    <xf numFmtId="49" fontId="6" fillId="9" borderId="1" xfId="2" applyNumberFormat="1" applyFont="1" applyFill="1" applyBorder="1" applyAlignment="1" applyProtection="1">
      <alignment horizontal="center" vertical="center"/>
    </xf>
    <xf numFmtId="2" fontId="7" fillId="9" borderId="1" xfId="2" applyNumberFormat="1" applyFont="1" applyFill="1" applyBorder="1" applyAlignment="1" applyProtection="1">
      <alignment horizontal="right"/>
    </xf>
    <xf numFmtId="0" fontId="6" fillId="9" borderId="8" xfId="2" applyFont="1" applyFill="1" applyBorder="1" applyAlignment="1" applyProtection="1">
      <alignment horizontal="left"/>
    </xf>
    <xf numFmtId="0" fontId="6" fillId="10" borderId="7" xfId="2" applyFont="1" applyFill="1" applyBorder="1" applyAlignment="1" applyProtection="1">
      <alignment horizontal="center"/>
    </xf>
    <xf numFmtId="0" fontId="6" fillId="10" borderId="1" xfId="2" applyFont="1" applyFill="1" applyBorder="1" applyAlignment="1" applyProtection="1">
      <alignment horizontal="center"/>
    </xf>
    <xf numFmtId="0" fontId="6" fillId="11" borderId="7" xfId="2" applyFont="1" applyFill="1" applyBorder="1" applyAlignment="1" applyProtection="1">
      <alignment horizontal="center"/>
    </xf>
    <xf numFmtId="0" fontId="6" fillId="11" borderId="1" xfId="2" applyFont="1" applyFill="1" applyBorder="1" applyAlignment="1" applyProtection="1">
      <alignment horizontal="center"/>
    </xf>
    <xf numFmtId="0" fontId="6" fillId="7" borderId="14" xfId="2" applyFont="1" applyFill="1" applyBorder="1" applyAlignment="1" applyProtection="1">
      <alignment horizontal="right"/>
    </xf>
    <xf numFmtId="0" fontId="6" fillId="7" borderId="7" xfId="2" applyFont="1" applyFill="1" applyBorder="1" applyAlignment="1" applyProtection="1">
      <alignment horizontal="center"/>
    </xf>
    <xf numFmtId="49" fontId="6" fillId="7" borderId="7" xfId="2" applyNumberFormat="1" applyFont="1" applyFill="1" applyBorder="1" applyAlignment="1" applyProtection="1">
      <alignment horizontal="center" vertical="center"/>
    </xf>
    <xf numFmtId="2" fontId="7" fillId="7" borderId="7" xfId="2" applyNumberFormat="1" applyFont="1" applyFill="1" applyBorder="1" applyAlignment="1" applyProtection="1">
      <alignment horizontal="right"/>
    </xf>
    <xf numFmtId="0" fontId="6" fillId="7" borderId="15" xfId="2" applyFont="1" applyFill="1" applyBorder="1" applyAlignment="1" applyProtection="1">
      <alignment horizontal="left"/>
    </xf>
    <xf numFmtId="0" fontId="6" fillId="7" borderId="4" xfId="2" applyFont="1" applyFill="1" applyBorder="1" applyAlignment="1" applyProtection="1">
      <alignment horizontal="right" vertical="center"/>
    </xf>
    <xf numFmtId="0" fontId="6" fillId="7" borderId="1" xfId="2" applyFont="1" applyFill="1" applyBorder="1" applyAlignment="1" applyProtection="1">
      <alignment horizontal="center"/>
    </xf>
    <xf numFmtId="49" fontId="6" fillId="7" borderId="0" xfId="2" applyNumberFormat="1" applyFont="1" applyFill="1" applyBorder="1" applyAlignment="1" applyProtection="1">
      <alignment horizontal="center" vertical="center"/>
    </xf>
    <xf numFmtId="2" fontId="7" fillId="7" borderId="0" xfId="2" applyNumberFormat="1" applyFont="1" applyFill="1" applyBorder="1" applyAlignment="1" applyProtection="1">
      <alignment horizontal="center" vertical="center"/>
    </xf>
    <xf numFmtId="0" fontId="6" fillId="7" borderId="6" xfId="2" applyFont="1" applyFill="1" applyBorder="1" applyAlignment="1" applyProtection="1">
      <alignment horizontal="center" vertical="center"/>
    </xf>
    <xf numFmtId="0" fontId="6" fillId="7" borderId="16" xfId="2" applyFont="1" applyFill="1" applyBorder="1" applyAlignment="1" applyProtection="1">
      <alignment horizontal="right"/>
    </xf>
    <xf numFmtId="49" fontId="6" fillId="7" borderId="1" xfId="2" applyNumberFormat="1" applyFont="1" applyFill="1" applyBorder="1" applyAlignment="1" applyProtection="1">
      <alignment horizontal="center" vertical="center"/>
    </xf>
    <xf numFmtId="2" fontId="7" fillId="7" borderId="1" xfId="2" applyNumberFormat="1" applyFont="1" applyFill="1" applyBorder="1" applyAlignment="1" applyProtection="1">
      <alignment horizontal="right"/>
    </xf>
    <xf numFmtId="0" fontId="6" fillId="7" borderId="8" xfId="2" applyFont="1" applyFill="1" applyBorder="1" applyAlignment="1" applyProtection="1">
      <alignment horizontal="left"/>
    </xf>
    <xf numFmtId="0" fontId="6" fillId="12" borderId="14" xfId="2" applyFont="1" applyFill="1" applyBorder="1" applyAlignment="1" applyProtection="1">
      <alignment horizontal="right"/>
    </xf>
    <xf numFmtId="0" fontId="6" fillId="12" borderId="7" xfId="2" applyFont="1" applyFill="1" applyBorder="1" applyAlignment="1" applyProtection="1">
      <alignment horizontal="center"/>
    </xf>
    <xf numFmtId="49" fontId="6" fillId="12" borderId="7" xfId="2" applyNumberFormat="1" applyFont="1" applyFill="1" applyBorder="1" applyAlignment="1" applyProtection="1">
      <alignment horizontal="center" vertical="center"/>
    </xf>
    <xf numFmtId="2" fontId="7" fillId="12" borderId="7" xfId="2" applyNumberFormat="1" applyFont="1" applyFill="1" applyBorder="1" applyAlignment="1" applyProtection="1">
      <alignment horizontal="right"/>
    </xf>
    <xf numFmtId="0" fontId="6" fillId="12" borderId="15" xfId="2" applyFont="1" applyFill="1" applyBorder="1" applyAlignment="1" applyProtection="1">
      <alignment horizontal="left"/>
    </xf>
    <xf numFmtId="0" fontId="6" fillId="12" borderId="4" xfId="2" applyFont="1" applyFill="1" applyBorder="1" applyAlignment="1" applyProtection="1">
      <alignment horizontal="right" vertical="center"/>
    </xf>
    <xf numFmtId="0" fontId="6" fillId="12" borderId="1" xfId="2" applyFont="1" applyFill="1" applyBorder="1" applyAlignment="1" applyProtection="1">
      <alignment horizontal="center"/>
    </xf>
    <xf numFmtId="49" fontId="6" fillId="12" borderId="0" xfId="2" applyNumberFormat="1" applyFont="1" applyFill="1" applyBorder="1" applyAlignment="1" applyProtection="1">
      <alignment horizontal="center" vertical="center"/>
    </xf>
    <xf numFmtId="2" fontId="7" fillId="12" borderId="0" xfId="2" applyNumberFormat="1" applyFont="1" applyFill="1" applyBorder="1" applyAlignment="1" applyProtection="1">
      <alignment horizontal="center" vertical="center"/>
    </xf>
    <xf numFmtId="0" fontId="6" fillId="12" borderId="6" xfId="2" applyFont="1" applyFill="1" applyBorder="1" applyAlignment="1" applyProtection="1">
      <alignment horizontal="center" vertical="center"/>
    </xf>
    <xf numFmtId="0" fontId="6" fillId="12" borderId="16" xfId="2" applyFont="1" applyFill="1" applyBorder="1" applyAlignment="1" applyProtection="1">
      <alignment horizontal="right"/>
    </xf>
    <xf numFmtId="49" fontId="6" fillId="12" borderId="1" xfId="2" applyNumberFormat="1" applyFont="1" applyFill="1" applyBorder="1" applyAlignment="1" applyProtection="1">
      <alignment horizontal="center" vertical="center"/>
    </xf>
    <xf numFmtId="2" fontId="7" fillId="12" borderId="1" xfId="2" applyNumberFormat="1" applyFont="1" applyFill="1" applyBorder="1" applyAlignment="1" applyProtection="1">
      <alignment horizontal="right"/>
    </xf>
    <xf numFmtId="0" fontId="6" fillId="12" borderId="8" xfId="2" applyFont="1" applyFill="1" applyBorder="1" applyAlignment="1" applyProtection="1">
      <alignment horizontal="left"/>
    </xf>
    <xf numFmtId="0" fontId="6" fillId="13" borderId="14" xfId="2" applyFont="1" applyFill="1" applyBorder="1" applyAlignment="1" applyProtection="1">
      <alignment horizontal="right"/>
    </xf>
    <xf numFmtId="0" fontId="6" fillId="13" borderId="7" xfId="2" applyFont="1" applyFill="1" applyBorder="1" applyAlignment="1" applyProtection="1">
      <alignment horizontal="center"/>
    </xf>
    <xf numFmtId="49" fontId="6" fillId="13" borderId="7" xfId="2" applyNumberFormat="1" applyFont="1" applyFill="1" applyBorder="1" applyAlignment="1" applyProtection="1">
      <alignment horizontal="center" vertical="center"/>
    </xf>
    <xf numFmtId="2" fontId="7" fillId="13" borderId="7" xfId="2" applyNumberFormat="1" applyFont="1" applyFill="1" applyBorder="1" applyAlignment="1" applyProtection="1">
      <alignment horizontal="right"/>
    </xf>
    <xf numFmtId="0" fontId="6" fillId="13" borderId="15" xfId="2" applyFont="1" applyFill="1" applyBorder="1" applyAlignment="1" applyProtection="1">
      <alignment horizontal="left"/>
    </xf>
    <xf numFmtId="0" fontId="6" fillId="13" borderId="4" xfId="2" applyFont="1" applyFill="1" applyBorder="1" applyAlignment="1" applyProtection="1">
      <alignment horizontal="right" vertical="center"/>
    </xf>
    <xf numFmtId="0" fontId="6" fillId="13" borderId="1" xfId="2" applyFont="1" applyFill="1" applyBorder="1" applyAlignment="1" applyProtection="1">
      <alignment horizontal="center"/>
    </xf>
    <xf numFmtId="49" fontId="6" fillId="13" borderId="0" xfId="2" applyNumberFormat="1" applyFont="1" applyFill="1" applyBorder="1" applyAlignment="1" applyProtection="1">
      <alignment horizontal="center" vertical="center"/>
    </xf>
    <xf numFmtId="2" fontId="7" fillId="13" borderId="0" xfId="2" applyNumberFormat="1" applyFont="1" applyFill="1" applyBorder="1" applyAlignment="1" applyProtection="1">
      <alignment horizontal="center" vertical="center"/>
    </xf>
    <xf numFmtId="0" fontId="6" fillId="13" borderId="6" xfId="2" applyFont="1" applyFill="1" applyBorder="1" applyAlignment="1" applyProtection="1">
      <alignment horizontal="center" vertical="center"/>
    </xf>
    <xf numFmtId="0" fontId="6" fillId="13" borderId="16" xfId="2" applyFont="1" applyFill="1" applyBorder="1" applyAlignment="1" applyProtection="1">
      <alignment horizontal="right"/>
    </xf>
    <xf numFmtId="49" fontId="6" fillId="13" borderId="1" xfId="2" applyNumberFormat="1" applyFont="1" applyFill="1" applyBorder="1" applyAlignment="1" applyProtection="1">
      <alignment horizontal="center" vertical="center"/>
    </xf>
    <xf numFmtId="2" fontId="7" fillId="13" borderId="1" xfId="2" applyNumberFormat="1" applyFont="1" applyFill="1" applyBorder="1" applyAlignment="1" applyProtection="1">
      <alignment horizontal="right"/>
    </xf>
    <xf numFmtId="0" fontId="6" fillId="13" borderId="8" xfId="2" applyFont="1" applyFill="1" applyBorder="1" applyAlignment="1" applyProtection="1">
      <alignment horizontal="left"/>
    </xf>
    <xf numFmtId="0" fontId="53" fillId="0" borderId="0" xfId="0" applyFont="1" applyProtection="1"/>
    <xf numFmtId="1" fontId="53" fillId="0" borderId="0" xfId="0" applyNumberFormat="1" applyFont="1" applyProtection="1"/>
    <xf numFmtId="1" fontId="0" fillId="0" borderId="0" xfId="0" applyNumberFormat="1" applyFont="1" applyProtection="1"/>
    <xf numFmtId="0" fontId="53" fillId="0" borderId="28" xfId="0" applyFont="1" applyBorder="1" applyProtection="1"/>
    <xf numFmtId="0" fontId="53" fillId="0" borderId="28" xfId="0" applyFont="1" applyBorder="1" applyAlignment="1" applyProtection="1">
      <alignment horizontal="center"/>
    </xf>
    <xf numFmtId="1" fontId="53" fillId="0" borderId="28" xfId="0" applyNumberFormat="1" applyFont="1" applyBorder="1" applyAlignment="1" applyProtection="1">
      <alignment horizontal="center"/>
    </xf>
    <xf numFmtId="0" fontId="0" fillId="20" borderId="28" xfId="0" applyFont="1" applyFill="1" applyBorder="1" applyProtection="1">
      <protection locked="0"/>
    </xf>
    <xf numFmtId="1" fontId="53" fillId="0" borderId="0" xfId="0" applyNumberFormat="1" applyFont="1" applyAlignment="1" applyProtection="1">
      <alignment horizontal="center"/>
    </xf>
    <xf numFmtId="0" fontId="53" fillId="0" borderId="0" xfId="0" applyFont="1" applyFill="1" applyBorder="1" applyProtection="1"/>
    <xf numFmtId="0" fontId="53" fillId="0" borderId="0" xfId="0" applyFont="1" applyBorder="1" applyAlignment="1" applyProtection="1">
      <alignment horizontal="center"/>
    </xf>
    <xf numFmtId="164" fontId="0" fillId="20" borderId="28" xfId="0" applyNumberFormat="1" applyFont="1" applyFill="1" applyBorder="1" applyAlignment="1" applyProtection="1">
      <alignment horizontal="center"/>
      <protection locked="0"/>
    </xf>
    <xf numFmtId="164" fontId="0" fillId="0" borderId="28" xfId="0" applyNumberFormat="1" applyFont="1" applyFill="1" applyBorder="1" applyAlignment="1" applyProtection="1">
      <alignment horizontal="center"/>
    </xf>
    <xf numFmtId="1" fontId="0" fillId="0" borderId="0" xfId="0" applyNumberFormat="1" applyFont="1" applyBorder="1" applyAlignment="1" applyProtection="1">
      <alignment horizontal="center"/>
    </xf>
    <xf numFmtId="164" fontId="0" fillId="0" borderId="28" xfId="0" applyNumberFormat="1" applyFont="1" applyBorder="1" applyAlignment="1" applyProtection="1">
      <alignment horizontal="center"/>
    </xf>
    <xf numFmtId="0" fontId="5" fillId="0" borderId="0" xfId="2" applyBorder="1" applyProtection="1"/>
    <xf numFmtId="0" fontId="11" fillId="0" borderId="4" xfId="2" applyFont="1" applyBorder="1" applyAlignment="1" applyProtection="1">
      <alignment horizontal="left"/>
    </xf>
    <xf numFmtId="0" fontId="11" fillId="0" borderId="0" xfId="2" applyFont="1" applyBorder="1" applyAlignment="1" applyProtection="1">
      <alignment horizontal="center" vertical="center" wrapText="1"/>
    </xf>
    <xf numFmtId="0" fontId="11" fillId="0" borderId="6" xfId="2" applyFont="1" applyBorder="1" applyAlignment="1" applyProtection="1">
      <alignment horizontal="center" vertical="center" wrapText="1"/>
    </xf>
    <xf numFmtId="0" fontId="11" fillId="0" borderId="33" xfId="2" applyFont="1" applyBorder="1" applyAlignment="1" applyProtection="1">
      <alignment horizontal="right"/>
    </xf>
    <xf numFmtId="0" fontId="11" fillId="0" borderId="32" xfId="2" applyFont="1" applyBorder="1" applyAlignment="1" applyProtection="1">
      <alignment horizontal="center"/>
    </xf>
    <xf numFmtId="0" fontId="11" fillId="0" borderId="32" xfId="2" applyFont="1" applyBorder="1" applyAlignment="1" applyProtection="1">
      <alignment horizontal="right"/>
    </xf>
    <xf numFmtId="0" fontId="11" fillId="0" borderId="34" xfId="2" applyFont="1" applyBorder="1" applyAlignment="1" applyProtection="1">
      <alignment horizontal="center"/>
    </xf>
    <xf numFmtId="0" fontId="11" fillId="0" borderId="35" xfId="2" applyFont="1" applyBorder="1" applyAlignment="1" applyProtection="1">
      <alignment horizontal="left" vertical="center"/>
    </xf>
    <xf numFmtId="0" fontId="11" fillId="0" borderId="36" xfId="2" applyFont="1" applyBorder="1" applyAlignment="1" applyProtection="1">
      <alignment horizontal="center" vertical="center"/>
    </xf>
    <xf numFmtId="0" fontId="11" fillId="0" borderId="35" xfId="2" applyFont="1" applyBorder="1" applyAlignment="1" applyProtection="1">
      <alignment horizontal="right"/>
    </xf>
    <xf numFmtId="0" fontId="11" fillId="0" borderId="36" xfId="2" applyFont="1" applyBorder="1" applyAlignment="1" applyProtection="1">
      <alignment horizontal="center"/>
    </xf>
    <xf numFmtId="49" fontId="11" fillId="0" borderId="35" xfId="2" applyNumberFormat="1" applyFont="1" applyBorder="1" applyAlignment="1" applyProtection="1">
      <alignment horizontal="right"/>
    </xf>
    <xf numFmtId="1" fontId="11" fillId="0" borderId="35" xfId="2" applyNumberFormat="1" applyFont="1" applyBorder="1" applyAlignment="1" applyProtection="1">
      <alignment horizontal="right"/>
    </xf>
    <xf numFmtId="1" fontId="11" fillId="0" borderId="36" xfId="2" applyNumberFormat="1" applyFont="1" applyBorder="1" applyAlignment="1" applyProtection="1">
      <alignment horizontal="center"/>
    </xf>
    <xf numFmtId="166" fontId="11" fillId="0" borderId="35" xfId="2" applyNumberFormat="1" applyFont="1" applyBorder="1" applyAlignment="1" applyProtection="1">
      <alignment horizontal="right"/>
    </xf>
    <xf numFmtId="166" fontId="11" fillId="0" borderId="36" xfId="2" applyNumberFormat="1" applyFont="1" applyBorder="1" applyAlignment="1" applyProtection="1">
      <alignment horizontal="center"/>
    </xf>
    <xf numFmtId="0" fontId="11" fillId="0" borderId="37" xfId="2" applyFont="1" applyBorder="1" applyAlignment="1" applyProtection="1">
      <alignment horizontal="right"/>
    </xf>
    <xf numFmtId="0" fontId="11" fillId="0" borderId="31" xfId="2" applyFont="1" applyBorder="1" applyAlignment="1" applyProtection="1">
      <alignment horizontal="center"/>
    </xf>
    <xf numFmtId="0" fontId="11" fillId="0" borderId="31" xfId="2" applyFont="1" applyBorder="1" applyAlignment="1" applyProtection="1">
      <alignment horizontal="right"/>
    </xf>
    <xf numFmtId="0" fontId="11" fillId="0" borderId="38" xfId="2" applyFont="1" applyBorder="1" applyAlignment="1" applyProtection="1">
      <alignment horizontal="center"/>
    </xf>
    <xf numFmtId="0" fontId="5" fillId="0" borderId="0" xfId="0" applyNumberFormat="1" applyFont="1" applyBorder="1" applyAlignment="1" applyProtection="1">
      <alignment horizontal="left"/>
    </xf>
    <xf numFmtId="0" fontId="5" fillId="0" borderId="0" xfId="0" applyNumberFormat="1" applyFont="1" applyFill="1" applyBorder="1" applyProtection="1"/>
    <xf numFmtId="0" fontId="30" fillId="0" borderId="0" xfId="2" applyFont="1" applyBorder="1" applyAlignment="1" applyProtection="1">
      <alignment horizontal="center" vertical="center"/>
    </xf>
    <xf numFmtId="169" fontId="30" fillId="0" borderId="0" xfId="2" applyNumberFormat="1" applyFont="1" applyBorder="1" applyAlignment="1" applyProtection="1">
      <alignment horizontal="center" vertical="center"/>
    </xf>
    <xf numFmtId="174" fontId="6" fillId="6" borderId="28" xfId="2" applyNumberFormat="1" applyFont="1" applyFill="1" applyBorder="1" applyAlignment="1" applyProtection="1">
      <alignment horizontal="center" vertical="center"/>
      <protection locked="0"/>
    </xf>
    <xf numFmtId="0" fontId="6" fillId="0" borderId="28" xfId="2" applyFont="1" applyBorder="1" applyAlignment="1" applyProtection="1">
      <alignment horizontal="center" vertical="center" wrapText="1"/>
    </xf>
    <xf numFmtId="0" fontId="30" fillId="0" borderId="28" xfId="2" applyFont="1" applyBorder="1" applyAlignment="1" applyProtection="1">
      <alignment horizontal="center" vertical="center"/>
    </xf>
    <xf numFmtId="14" fontId="6" fillId="0" borderId="28" xfId="2" applyNumberFormat="1" applyFont="1" applyBorder="1" applyAlignment="1" applyProtection="1">
      <alignment horizontal="center" vertical="center"/>
    </xf>
    <xf numFmtId="170" fontId="30" fillId="0" borderId="28" xfId="2" applyNumberFormat="1" applyFont="1" applyBorder="1" applyAlignment="1" applyProtection="1">
      <alignment horizontal="center" vertical="center"/>
    </xf>
    <xf numFmtId="175" fontId="6" fillId="0" borderId="28" xfId="2" applyNumberFormat="1" applyFont="1" applyBorder="1" applyAlignment="1" applyProtection="1">
      <alignment horizontal="center" vertical="center"/>
    </xf>
    <xf numFmtId="0" fontId="6" fillId="6" borderId="28" xfId="2" applyFont="1" applyFill="1" applyBorder="1" applyAlignment="1" applyProtection="1">
      <alignment horizontal="center" vertical="center"/>
      <protection locked="0"/>
    </xf>
    <xf numFmtId="0" fontId="5" fillId="0" borderId="0" xfId="2" applyFont="1" applyBorder="1" applyAlignment="1" applyProtection="1">
      <alignment horizontal="center" vertical="center"/>
    </xf>
    <xf numFmtId="0" fontId="5" fillId="0" borderId="0" xfId="0" applyFont="1" applyFill="1" applyBorder="1" applyProtection="1"/>
    <xf numFmtId="0" fontId="5" fillId="0" borderId="0" xfId="2" applyFont="1" applyBorder="1" applyAlignment="1" applyProtection="1">
      <alignment horizontal="left" vertical="center"/>
    </xf>
    <xf numFmtId="164" fontId="0" fillId="6" borderId="2" xfId="0" applyNumberFormat="1" applyFill="1" applyBorder="1" applyProtection="1">
      <protection locked="0"/>
    </xf>
    <xf numFmtId="2" fontId="0" fillId="6" borderId="2" xfId="0" applyNumberFormat="1" applyFill="1" applyBorder="1" applyProtection="1">
      <protection locked="0"/>
    </xf>
    <xf numFmtId="1" fontId="0" fillId="6" borderId="2" xfId="0" applyNumberFormat="1" applyFill="1" applyBorder="1" applyProtection="1">
      <protection locked="0"/>
    </xf>
    <xf numFmtId="0" fontId="6" fillId="0" borderId="28" xfId="2" applyFont="1" applyBorder="1" applyAlignment="1" applyProtection="1">
      <alignment vertical="center"/>
    </xf>
    <xf numFmtId="0" fontId="5" fillId="0" borderId="0" xfId="2" applyFill="1" applyProtection="1"/>
    <xf numFmtId="0" fontId="7" fillId="26" borderId="28" xfId="2" applyFont="1" applyFill="1" applyBorder="1" applyAlignment="1" applyProtection="1">
      <alignment horizontal="center" vertical="center" wrapText="1"/>
    </xf>
    <xf numFmtId="0" fontId="6" fillId="0" borderId="28" xfId="2" applyFont="1" applyFill="1" applyBorder="1" applyAlignment="1" applyProtection="1">
      <alignment horizontal="center" vertical="center" wrapText="1"/>
    </xf>
    <xf numFmtId="0" fontId="6" fillId="26" borderId="28" xfId="2" applyFont="1" applyFill="1" applyBorder="1" applyAlignment="1" applyProtection="1">
      <alignment horizontal="center" vertical="center" wrapText="1"/>
    </xf>
    <xf numFmtId="0" fontId="8" fillId="0" borderId="0" xfId="2" applyFont="1" applyBorder="1" applyProtection="1"/>
    <xf numFmtId="0" fontId="6" fillId="0" borderId="0" xfId="2" applyFont="1" applyBorder="1" applyProtection="1"/>
    <xf numFmtId="49" fontId="5" fillId="0" borderId="0" xfId="2" applyNumberFormat="1" applyFont="1" applyBorder="1" applyAlignment="1" applyProtection="1">
      <alignment horizontal="left" vertical="center"/>
    </xf>
    <xf numFmtId="49" fontId="5" fillId="0" borderId="0" xfId="2" applyNumberFormat="1" applyFont="1" applyBorder="1" applyProtection="1"/>
    <xf numFmtId="49" fontId="5" fillId="0" borderId="0" xfId="2" applyNumberFormat="1" applyFont="1" applyBorder="1" applyAlignment="1" applyProtection="1">
      <alignment horizontal="left"/>
    </xf>
    <xf numFmtId="49" fontId="5" fillId="0" borderId="0" xfId="2" applyNumberFormat="1" applyFont="1" applyBorder="1" applyAlignment="1" applyProtection="1">
      <alignment horizontal="center"/>
    </xf>
    <xf numFmtId="0" fontId="5" fillId="0" borderId="2" xfId="2" applyFont="1" applyBorder="1" applyAlignment="1" applyProtection="1">
      <alignment horizontal="left"/>
    </xf>
    <xf numFmtId="0" fontId="8" fillId="0" borderId="19" xfId="2" applyFont="1" applyBorder="1" applyProtection="1"/>
    <xf numFmtId="0" fontId="8" fillId="0" borderId="21" xfId="2" applyFont="1" applyBorder="1" applyAlignment="1" applyProtection="1">
      <alignment horizontal="center"/>
    </xf>
    <xf numFmtId="0" fontId="8" fillId="0" borderId="22" xfId="2" applyFont="1" applyBorder="1" applyAlignment="1" applyProtection="1">
      <alignment horizontal="center"/>
    </xf>
    <xf numFmtId="0" fontId="8" fillId="0" borderId="12" xfId="2" applyFont="1" applyBorder="1" applyAlignment="1" applyProtection="1">
      <alignment horizontal="center"/>
    </xf>
    <xf numFmtId="0" fontId="8" fillId="0" borderId="23" xfId="2" applyFont="1" applyBorder="1" applyAlignment="1" applyProtection="1">
      <alignment horizontal="center"/>
    </xf>
    <xf numFmtId="0" fontId="8" fillId="0" borderId="2" xfId="2" applyFont="1" applyBorder="1" applyAlignment="1" applyProtection="1">
      <alignment horizontal="center"/>
    </xf>
    <xf numFmtId="164" fontId="8" fillId="0" borderId="2" xfId="2" applyNumberFormat="1" applyFont="1" applyBorder="1" applyProtection="1"/>
    <xf numFmtId="0" fontId="8" fillId="0" borderId="2" xfId="2" applyFont="1" applyBorder="1" applyProtection="1"/>
    <xf numFmtId="1" fontId="5" fillId="0" borderId="2" xfId="2" applyNumberFormat="1" applyFont="1" applyBorder="1" applyAlignment="1" applyProtection="1">
      <alignment horizontal="center"/>
    </xf>
    <xf numFmtId="1" fontId="5" fillId="16" borderId="13" xfId="2" applyNumberFormat="1" applyFont="1" applyFill="1" applyBorder="1" applyAlignment="1" applyProtection="1">
      <alignment horizontal="center"/>
    </xf>
    <xf numFmtId="1" fontId="8" fillId="0" borderId="2" xfId="2" applyNumberFormat="1" applyFont="1" applyBorder="1" applyProtection="1"/>
    <xf numFmtId="1" fontId="5" fillId="16" borderId="9" xfId="2" applyNumberFormat="1" applyFont="1" applyFill="1" applyBorder="1" applyAlignment="1" applyProtection="1">
      <alignment horizontal="center"/>
    </xf>
    <xf numFmtId="1" fontId="5" fillId="16" borderId="25" xfId="2" applyNumberFormat="1" applyFont="1" applyFill="1" applyBorder="1" applyAlignment="1" applyProtection="1">
      <alignment horizontal="center"/>
    </xf>
    <xf numFmtId="9" fontId="5" fillId="0" borderId="0" xfId="2" applyNumberFormat="1" applyFont="1" applyBorder="1" applyProtection="1"/>
    <xf numFmtId="0" fontId="24" fillId="0" borderId="0" xfId="0" applyFont="1" applyProtection="1"/>
    <xf numFmtId="167" fontId="24" fillId="0" borderId="0" xfId="0" applyNumberFormat="1" applyFont="1" applyProtection="1"/>
    <xf numFmtId="2" fontId="0" fillId="6" borderId="28" xfId="0" applyNumberFormat="1" applyFill="1" applyBorder="1" applyProtection="1">
      <protection locked="0"/>
    </xf>
    <xf numFmtId="0" fontId="28" fillId="0" borderId="0" xfId="0" applyFont="1" applyProtection="1"/>
    <xf numFmtId="0" fontId="28" fillId="0" borderId="0" xfId="0" applyFont="1" applyFill="1" applyProtection="1"/>
    <xf numFmtId="165" fontId="0" fillId="35" borderId="28" xfId="4" applyNumberFormat="1" applyFont="1" applyFill="1" applyBorder="1" applyAlignment="1" applyProtection="1">
      <alignment horizontal="center"/>
      <protection locked="0"/>
    </xf>
    <xf numFmtId="0" fontId="0" fillId="35" borderId="28" xfId="0" applyFont="1" applyFill="1" applyBorder="1" applyAlignment="1" applyProtection="1">
      <alignment horizontal="center"/>
      <protection locked="0"/>
    </xf>
    <xf numFmtId="0" fontId="47" fillId="0" borderId="0" xfId="0" applyFont="1" applyProtection="1"/>
    <xf numFmtId="49" fontId="37" fillId="0" borderId="0" xfId="0" applyNumberFormat="1" applyFont="1" applyProtection="1"/>
    <xf numFmtId="49" fontId="0" fillId="0" borderId="0" xfId="0" applyNumberFormat="1" applyFont="1" applyProtection="1"/>
    <xf numFmtId="0" fontId="0" fillId="0" borderId="0" xfId="0" applyFont="1" applyBorder="1" applyProtection="1"/>
    <xf numFmtId="0" fontId="0" fillId="0" borderId="47" xfId="0" applyFont="1" applyBorder="1" applyProtection="1"/>
    <xf numFmtId="2" fontId="0" fillId="0" borderId="0" xfId="0" applyNumberFormat="1" applyFont="1" applyAlignment="1" applyProtection="1">
      <alignment horizontal="center"/>
    </xf>
    <xf numFmtId="0" fontId="37" fillId="21" borderId="0" xfId="0" applyFont="1" applyFill="1" applyProtection="1"/>
    <xf numFmtId="0" fontId="37" fillId="21" borderId="0" xfId="0" applyFont="1" applyFill="1" applyAlignment="1" applyProtection="1">
      <alignment horizontal="right"/>
    </xf>
    <xf numFmtId="49" fontId="37" fillId="0" borderId="0" xfId="0" applyNumberFormat="1" applyFont="1" applyFill="1" applyProtection="1"/>
    <xf numFmtId="0" fontId="48" fillId="0" borderId="0" xfId="0" applyFont="1" applyProtection="1"/>
    <xf numFmtId="0" fontId="49" fillId="0" borderId="0" xfId="0" applyFont="1" applyProtection="1"/>
    <xf numFmtId="1" fontId="37" fillId="0" borderId="0" xfId="0" applyNumberFormat="1" applyFont="1" applyProtection="1"/>
    <xf numFmtId="1" fontId="37" fillId="21" borderId="0" xfId="0" applyNumberFormat="1" applyFont="1" applyFill="1" applyProtection="1"/>
    <xf numFmtId="49" fontId="48" fillId="0" borderId="0" xfId="0" applyNumberFormat="1" applyFont="1" applyProtection="1"/>
    <xf numFmtId="0" fontId="0" fillId="21" borderId="0" xfId="0" applyFont="1" applyFill="1" applyProtection="1"/>
    <xf numFmtId="0" fontId="47" fillId="0" borderId="0" xfId="0" applyFont="1" applyFill="1" applyProtection="1"/>
    <xf numFmtId="49" fontId="0" fillId="0" borderId="0" xfId="0" applyNumberFormat="1" applyFont="1" applyFill="1" applyProtection="1"/>
    <xf numFmtId="0" fontId="26" fillId="0" borderId="0" xfId="0" applyFont="1" applyAlignment="1" applyProtection="1">
      <alignment horizontal="left"/>
    </xf>
    <xf numFmtId="0" fontId="50" fillId="0" borderId="0" xfId="0" applyFont="1" applyProtection="1"/>
    <xf numFmtId="0" fontId="51" fillId="0" borderId="0" xfId="0" applyFont="1" applyProtection="1"/>
    <xf numFmtId="2" fontId="50" fillId="0" borderId="28" xfId="0" applyNumberFormat="1" applyFont="1" applyFill="1" applyBorder="1" applyProtection="1"/>
    <xf numFmtId="0" fontId="0" fillId="0" borderId="28" xfId="0" applyBorder="1" applyAlignment="1" applyProtection="1">
      <alignment horizontal="center"/>
    </xf>
    <xf numFmtId="0" fontId="0" fillId="0" borderId="0" xfId="0" applyFill="1" applyAlignment="1" applyProtection="1">
      <alignment horizontal="center"/>
    </xf>
    <xf numFmtId="0" fontId="8" fillId="0" borderId="0" xfId="0" applyFont="1" applyBorder="1" applyAlignment="1" applyProtection="1">
      <alignment horizontal="left" vertical="center"/>
    </xf>
    <xf numFmtId="0" fontId="24" fillId="0" borderId="0" xfId="2" applyFont="1" applyBorder="1" applyAlignment="1" applyProtection="1">
      <alignment wrapText="1"/>
    </xf>
    <xf numFmtId="0" fontId="24" fillId="0" borderId="0" xfId="2" applyFont="1" applyBorder="1" applyAlignment="1" applyProtection="1">
      <alignment horizontal="right"/>
    </xf>
    <xf numFmtId="14" fontId="55" fillId="0" borderId="0" xfId="2" applyNumberFormat="1" applyFont="1" applyBorder="1" applyAlignment="1" applyProtection="1">
      <alignment horizontal="center" vertical="center"/>
    </xf>
    <xf numFmtId="0" fontId="6" fillId="6" borderId="28" xfId="0" applyNumberFormat="1" applyFont="1" applyFill="1" applyBorder="1" applyAlignment="1" applyProtection="1">
      <alignment horizontal="right"/>
      <protection locked="0"/>
    </xf>
    <xf numFmtId="0" fontId="6" fillId="0" borderId="28" xfId="0" applyNumberFormat="1" applyFont="1" applyFill="1" applyBorder="1" applyAlignment="1" applyProtection="1">
      <alignment horizontal="left"/>
    </xf>
    <xf numFmtId="167" fontId="19" fillId="0" borderId="28" xfId="4" applyNumberFormat="1" applyFont="1" applyFill="1" applyBorder="1" applyAlignment="1" applyProtection="1">
      <alignment horizontal="right"/>
    </xf>
    <xf numFmtId="0" fontId="19" fillId="0" borderId="28" xfId="0" applyNumberFormat="1" applyFont="1" applyFill="1" applyBorder="1" applyAlignment="1" applyProtection="1">
      <alignment horizontal="left"/>
    </xf>
    <xf numFmtId="167" fontId="19" fillId="0" borderId="28" xfId="0" applyNumberFormat="1" applyFont="1" applyBorder="1" applyProtection="1"/>
    <xf numFmtId="167" fontId="19" fillId="0" borderId="28" xfId="0" applyNumberFormat="1" applyFont="1" applyFill="1" applyBorder="1" applyAlignment="1" applyProtection="1">
      <alignment horizontal="right"/>
    </xf>
    <xf numFmtId="0" fontId="19" fillId="0" borderId="28" xfId="0" applyFont="1" applyBorder="1" applyProtection="1"/>
    <xf numFmtId="164" fontId="7" fillId="0" borderId="28" xfId="0" applyNumberFormat="1" applyFont="1" applyBorder="1" applyProtection="1"/>
    <xf numFmtId="0" fontId="7" fillId="0" borderId="28" xfId="0" applyFont="1" applyBorder="1" applyProtection="1"/>
    <xf numFmtId="9" fontId="5" fillId="6" borderId="28" xfId="4" applyFont="1" applyFill="1" applyBorder="1" applyAlignment="1" applyProtection="1">
      <alignment horizontal="right"/>
      <protection locked="0"/>
    </xf>
    <xf numFmtId="1" fontId="7" fillId="0" borderId="28" xfId="0" applyNumberFormat="1" applyFont="1" applyBorder="1" applyProtection="1"/>
    <xf numFmtId="0" fontId="6" fillId="0" borderId="28" xfId="0" applyFont="1" applyBorder="1" applyProtection="1"/>
    <xf numFmtId="0" fontId="56" fillId="0" borderId="0" xfId="0" applyFont="1" applyAlignment="1" applyProtection="1">
      <alignment horizontal="center"/>
    </xf>
    <xf numFmtId="0" fontId="57" fillId="0" borderId="0" xfId="0" applyFont="1" applyProtection="1"/>
    <xf numFmtId="0" fontId="56" fillId="0" borderId="0" xfId="0" applyFont="1" applyProtection="1"/>
    <xf numFmtId="49" fontId="0" fillId="0" borderId="42" xfId="0" applyNumberFormat="1" applyFont="1" applyFill="1" applyBorder="1" applyAlignment="1" applyProtection="1">
      <alignment horizontal="center"/>
    </xf>
    <xf numFmtId="49" fontId="0" fillId="0" borderId="28" xfId="0" applyNumberFormat="1" applyFont="1" applyFill="1" applyBorder="1" applyAlignment="1" applyProtection="1">
      <alignment horizontal="center"/>
    </xf>
    <xf numFmtId="49" fontId="0" fillId="0" borderId="46" xfId="0" applyNumberFormat="1" applyFont="1" applyFill="1" applyBorder="1" applyAlignment="1" applyProtection="1">
      <alignment horizontal="center"/>
    </xf>
    <xf numFmtId="167" fontId="0" fillId="0" borderId="28" xfId="0" applyNumberFormat="1" applyFont="1" applyFill="1" applyBorder="1" applyAlignment="1" applyProtection="1">
      <alignment horizontal="center"/>
    </xf>
    <xf numFmtId="0" fontId="4" fillId="28" borderId="28" xfId="0" applyFont="1" applyFill="1" applyBorder="1" applyAlignment="1" applyProtection="1">
      <alignment horizontal="center"/>
    </xf>
    <xf numFmtId="0" fontId="4" fillId="26" borderId="28" xfId="0" applyFont="1" applyFill="1" applyBorder="1" applyProtection="1"/>
    <xf numFmtId="2" fontId="4" fillId="26" borderId="28" xfId="0" applyNumberFormat="1" applyFont="1" applyFill="1" applyBorder="1" applyAlignment="1" applyProtection="1">
      <alignment horizontal="center"/>
    </xf>
    <xf numFmtId="0" fontId="4" fillId="0" borderId="28" xfId="0" applyFont="1" applyFill="1" applyBorder="1" applyProtection="1"/>
    <xf numFmtId="2" fontId="4" fillId="0" borderId="28" xfId="0" applyNumberFormat="1" applyFont="1" applyFill="1" applyBorder="1" applyAlignment="1" applyProtection="1">
      <alignment horizontal="center"/>
    </xf>
    <xf numFmtId="0" fontId="4" fillId="0" borderId="0" xfId="0" applyFont="1" applyFill="1" applyBorder="1" applyProtection="1"/>
    <xf numFmtId="0" fontId="4" fillId="33" borderId="28" xfId="0" applyFont="1" applyFill="1" applyBorder="1" applyAlignment="1" applyProtection="1">
      <alignment horizontal="center"/>
    </xf>
    <xf numFmtId="164" fontId="0" fillId="0" borderId="0" xfId="2" applyNumberFormat="1" applyFont="1" applyFill="1" applyBorder="1" applyAlignment="1" applyProtection="1">
      <alignment horizontal="center"/>
    </xf>
    <xf numFmtId="2" fontId="0" fillId="0" borderId="0" xfId="2" applyNumberFormat="1" applyFont="1" applyFill="1" applyBorder="1" applyAlignment="1" applyProtection="1">
      <alignment horizontal="center"/>
    </xf>
    <xf numFmtId="1" fontId="0" fillId="0" borderId="0" xfId="2" applyNumberFormat="1" applyFont="1" applyFill="1" applyBorder="1" applyAlignment="1" applyProtection="1">
      <alignment horizontal="center"/>
    </xf>
    <xf numFmtId="2" fontId="0" fillId="0" borderId="0" xfId="0" applyNumberFormat="1" applyFont="1" applyFill="1" applyBorder="1" applyAlignment="1" applyProtection="1">
      <alignment horizontal="center"/>
    </xf>
    <xf numFmtId="0" fontId="0" fillId="26" borderId="28" xfId="0" applyFont="1" applyFill="1" applyBorder="1" applyProtection="1"/>
    <xf numFmtId="0" fontId="0" fillId="26" borderId="28" xfId="0" applyFont="1" applyFill="1" applyBorder="1" applyAlignment="1" applyProtection="1">
      <alignment horizontal="left"/>
    </xf>
    <xf numFmtId="0" fontId="0" fillId="0" borderId="28" xfId="0" applyFont="1" applyFill="1" applyBorder="1" applyProtection="1"/>
    <xf numFmtId="0" fontId="0" fillId="0" borderId="28" xfId="0" applyFont="1" applyFill="1" applyBorder="1" applyAlignment="1" applyProtection="1">
      <alignment horizontal="left"/>
    </xf>
    <xf numFmtId="9" fontId="4" fillId="0" borderId="28" xfId="4" applyFont="1" applyBorder="1" applyAlignment="1" applyProtection="1">
      <alignment horizontal="center" vertical="center"/>
    </xf>
    <xf numFmtId="164" fontId="7" fillId="6" borderId="28" xfId="2" applyNumberFormat="1" applyFont="1" applyFill="1" applyBorder="1" applyAlignment="1" applyProtection="1">
      <alignment horizontal="center" vertical="center"/>
      <protection locked="0"/>
    </xf>
    <xf numFmtId="164" fontId="24" fillId="0" borderId="28" xfId="2" applyNumberFormat="1" applyFont="1" applyBorder="1" applyAlignment="1" applyProtection="1">
      <alignment horizontal="center" vertical="center"/>
    </xf>
    <xf numFmtId="14" fontId="33" fillId="0" borderId="0" xfId="2" applyNumberFormat="1" applyFont="1" applyBorder="1" applyProtection="1"/>
    <xf numFmtId="0" fontId="5" fillId="0" borderId="0" xfId="2" applyNumberFormat="1" applyFont="1" applyFill="1" applyBorder="1" applyAlignment="1" applyProtection="1">
      <alignment horizontal="left" vertical="top"/>
    </xf>
    <xf numFmtId="14" fontId="57" fillId="0" borderId="0" xfId="0" applyNumberFormat="1" applyFont="1" applyProtection="1"/>
    <xf numFmtId="14" fontId="59" fillId="0" borderId="0" xfId="0" applyNumberFormat="1" applyFont="1" applyProtection="1"/>
    <xf numFmtId="14" fontId="33" fillId="0" borderId="0" xfId="2" applyNumberFormat="1" applyFont="1" applyProtection="1"/>
    <xf numFmtId="2" fontId="6" fillId="6" borderId="2" xfId="2" applyNumberFormat="1" applyFont="1" applyFill="1" applyBorder="1" applyAlignment="1" applyProtection="1">
      <alignment horizontal="right"/>
      <protection locked="0"/>
    </xf>
    <xf numFmtId="0" fontId="6" fillId="36" borderId="1" xfId="2" applyFont="1" applyFill="1" applyBorder="1" applyAlignment="1">
      <alignment horizontal="center"/>
    </xf>
    <xf numFmtId="0" fontId="6" fillId="36" borderId="2" xfId="2" applyFont="1" applyFill="1" applyBorder="1" applyAlignment="1">
      <alignment horizontal="center"/>
    </xf>
    <xf numFmtId="14" fontId="11" fillId="0" borderId="0" xfId="2" applyNumberFormat="1" applyFont="1" applyBorder="1" applyAlignment="1">
      <alignment wrapText="1"/>
    </xf>
    <xf numFmtId="173" fontId="25" fillId="6" borderId="28" xfId="0" applyNumberFormat="1" applyFont="1" applyFill="1" applyBorder="1" applyProtection="1">
      <protection locked="0"/>
    </xf>
    <xf numFmtId="171" fontId="25" fillId="6" borderId="28" xfId="0" applyNumberFormat="1" applyFont="1" applyFill="1" applyBorder="1" applyProtection="1">
      <protection locked="0"/>
    </xf>
    <xf numFmtId="171" fontId="25" fillId="0" borderId="28" xfId="0" applyNumberFormat="1" applyFont="1" applyBorder="1" applyProtection="1"/>
    <xf numFmtId="10" fontId="25" fillId="0" borderId="28" xfId="0" applyNumberFormat="1" applyFont="1" applyBorder="1" applyProtection="1"/>
    <xf numFmtId="10" fontId="25" fillId="6" borderId="28" xfId="0" applyNumberFormat="1" applyFont="1" applyFill="1" applyBorder="1" applyProtection="1">
      <protection locked="0"/>
    </xf>
    <xf numFmtId="2" fontId="25" fillId="0" borderId="28" xfId="0" applyNumberFormat="1" applyFont="1" applyBorder="1" applyProtection="1"/>
    <xf numFmtId="2" fontId="25" fillId="6" borderId="28" xfId="0" applyNumberFormat="1" applyFont="1" applyFill="1" applyBorder="1" applyProtection="1">
      <protection locked="0"/>
    </xf>
    <xf numFmtId="173" fontId="25" fillId="0" borderId="28" xfId="0" applyNumberFormat="1" applyFont="1" applyBorder="1" applyProtection="1"/>
    <xf numFmtId="173" fontId="61" fillId="0" borderId="0" xfId="0" applyNumberFormat="1" applyFont="1" applyProtection="1"/>
    <xf numFmtId="171" fontId="61" fillId="0" borderId="0" xfId="0" applyNumberFormat="1" applyFont="1" applyProtection="1"/>
    <xf numFmtId="10" fontId="61" fillId="0" borderId="0" xfId="0" applyNumberFormat="1" applyFont="1" applyProtection="1"/>
    <xf numFmtId="2" fontId="61" fillId="0" borderId="0" xfId="0" applyNumberFormat="1" applyFont="1" applyProtection="1"/>
    <xf numFmtId="0" fontId="0" fillId="0" borderId="28" xfId="0" applyFont="1" applyBorder="1" applyProtection="1"/>
    <xf numFmtId="0" fontId="4" fillId="0" borderId="0" xfId="0" applyFont="1" applyFill="1" applyAlignment="1" applyProtection="1">
      <alignment horizontal="left"/>
    </xf>
    <xf numFmtId="0" fontId="0" fillId="0" borderId="0" xfId="0" applyFont="1" applyFill="1" applyAlignment="1" applyProtection="1">
      <alignment horizontal="right"/>
    </xf>
    <xf numFmtId="0" fontId="0" fillId="0" borderId="0" xfId="0" applyFont="1" applyAlignment="1" applyProtection="1">
      <alignment horizontal="right"/>
    </xf>
    <xf numFmtId="0" fontId="4" fillId="0" borderId="0" xfId="2" applyFont="1" applyBorder="1" applyAlignment="1" applyProtection="1">
      <alignment horizontal="center"/>
    </xf>
    <xf numFmtId="0" fontId="4" fillId="0" borderId="28" xfId="0" applyFont="1" applyFill="1" applyBorder="1" applyAlignment="1" applyProtection="1">
      <alignment horizontal="center"/>
    </xf>
    <xf numFmtId="0" fontId="0" fillId="21" borderId="28" xfId="0" applyFont="1" applyFill="1" applyBorder="1" applyAlignment="1" applyProtection="1">
      <alignment horizontal="center"/>
    </xf>
    <xf numFmtId="0" fontId="0" fillId="23" borderId="28" xfId="0" quotePrefix="1" applyFont="1" applyFill="1" applyBorder="1" applyAlignment="1" applyProtection="1">
      <alignment horizontal="center"/>
    </xf>
    <xf numFmtId="0" fontId="0" fillId="0" borderId="0" xfId="2" applyFont="1" applyBorder="1" applyAlignment="1" applyProtection="1">
      <alignment horizontal="center"/>
    </xf>
    <xf numFmtId="0" fontId="0" fillId="20" borderId="28" xfId="2" applyFont="1" applyFill="1" applyBorder="1" applyAlignment="1" applyProtection="1">
      <alignment horizontal="left"/>
      <protection locked="0"/>
    </xf>
    <xf numFmtId="1" fontId="0" fillId="20" borderId="28" xfId="0" applyNumberFormat="1" applyFont="1" applyFill="1" applyBorder="1" applyAlignment="1" applyProtection="1">
      <alignment horizontal="center"/>
      <protection locked="0"/>
    </xf>
    <xf numFmtId="0" fontId="0" fillId="23" borderId="28" xfId="0" applyFont="1" applyFill="1" applyBorder="1" applyAlignment="1" applyProtection="1">
      <alignment horizontal="center"/>
    </xf>
    <xf numFmtId="49" fontId="0" fillId="22" borderId="28" xfId="0" applyNumberFormat="1" applyFont="1" applyFill="1" applyBorder="1" applyAlignment="1" applyProtection="1">
      <alignment horizontal="center"/>
    </xf>
    <xf numFmtId="2" fontId="0" fillId="22" borderId="28" xfId="0" applyNumberFormat="1" applyFont="1" applyFill="1" applyBorder="1" applyAlignment="1" applyProtection="1">
      <alignment horizontal="center"/>
    </xf>
    <xf numFmtId="49" fontId="0" fillId="0" borderId="28" xfId="0" applyNumberFormat="1" applyFont="1" applyBorder="1" applyAlignment="1" applyProtection="1">
      <alignment horizontal="center"/>
    </xf>
    <xf numFmtId="2" fontId="0" fillId="0" borderId="28" xfId="0" applyNumberFormat="1" applyFont="1" applyBorder="1" applyAlignment="1" applyProtection="1">
      <alignment horizontal="center"/>
    </xf>
    <xf numFmtId="0" fontId="0" fillId="22" borderId="28" xfId="0" applyFont="1" applyFill="1" applyBorder="1" applyAlignment="1" applyProtection="1">
      <alignment horizontal="center"/>
    </xf>
    <xf numFmtId="1" fontId="0" fillId="20" borderId="42" xfId="0" applyNumberFormat="1" applyFont="1" applyFill="1" applyBorder="1" applyAlignment="1" applyProtection="1">
      <alignment horizontal="center"/>
      <protection locked="0"/>
    </xf>
    <xf numFmtId="0" fontId="4" fillId="0" borderId="0" xfId="0" applyFont="1" applyFill="1" applyAlignment="1" applyProtection="1">
      <alignment horizontal="right"/>
    </xf>
    <xf numFmtId="0" fontId="0" fillId="0" borderId="0" xfId="0" applyFont="1" applyFill="1" applyBorder="1" applyAlignment="1" applyProtection="1">
      <alignment vertical="top"/>
    </xf>
    <xf numFmtId="0" fontId="0" fillId="0" borderId="0" xfId="0" applyFont="1" applyFill="1" applyBorder="1" applyAlignment="1" applyProtection="1">
      <alignment horizontal="center" vertical="top"/>
    </xf>
    <xf numFmtId="2" fontId="0" fillId="20" borderId="28" xfId="0" applyNumberFormat="1" applyFont="1" applyFill="1" applyBorder="1" applyAlignment="1" applyProtection="1">
      <alignment horizontal="center"/>
      <protection locked="0"/>
    </xf>
    <xf numFmtId="0" fontId="4" fillId="0" borderId="0" xfId="0" applyFont="1" applyAlignment="1" applyProtection="1">
      <alignment horizontal="right"/>
    </xf>
    <xf numFmtId="0" fontId="4" fillId="0" borderId="0" xfId="0" applyFont="1" applyBorder="1" applyAlignment="1" applyProtection="1">
      <alignment horizontal="left" vertical="top" wrapText="1"/>
    </xf>
    <xf numFmtId="0" fontId="0" fillId="0" borderId="0" xfId="0" applyFont="1" applyBorder="1" applyAlignment="1" applyProtection="1">
      <alignment horizontal="left" vertical="top" wrapText="1"/>
    </xf>
    <xf numFmtId="0" fontId="0" fillId="0" borderId="0" xfId="0" applyFont="1" applyBorder="1" applyAlignment="1" applyProtection="1">
      <alignment horizontal="center"/>
    </xf>
    <xf numFmtId="0" fontId="0" fillId="0" borderId="0" xfId="2" applyFont="1" applyBorder="1" applyProtection="1"/>
    <xf numFmtId="14" fontId="0" fillId="0" borderId="0" xfId="0" applyNumberFormat="1" applyFont="1" applyFill="1" applyProtection="1"/>
    <xf numFmtId="0" fontId="5" fillId="24" borderId="28" xfId="2" applyFont="1" applyFill="1" applyBorder="1" applyProtection="1">
      <protection locked="0"/>
    </xf>
    <xf numFmtId="9" fontId="5" fillId="24" borderId="28" xfId="2" applyNumberFormat="1" applyFont="1" applyFill="1" applyBorder="1" applyProtection="1">
      <protection locked="0"/>
    </xf>
    <xf numFmtId="0" fontId="0" fillId="0" borderId="0" xfId="0" applyFont="1" applyAlignment="1">
      <alignment horizontal="left"/>
    </xf>
    <xf numFmtId="0" fontId="53" fillId="0" borderId="0" xfId="0" applyFont="1"/>
    <xf numFmtId="3" fontId="0" fillId="0" borderId="0" xfId="0" applyNumberFormat="1" applyFont="1" applyProtection="1"/>
    <xf numFmtId="3" fontId="4" fillId="0" borderId="0" xfId="0" applyNumberFormat="1" applyFont="1" applyProtection="1"/>
    <xf numFmtId="3" fontId="4" fillId="0" borderId="47" xfId="0" applyNumberFormat="1" applyFont="1" applyBorder="1" applyProtection="1"/>
    <xf numFmtId="3" fontId="53" fillId="0" borderId="0" xfId="0" applyNumberFormat="1" applyFont="1" applyProtection="1"/>
    <xf numFmtId="0" fontId="53" fillId="0" borderId="0" xfId="0" applyFont="1" applyAlignment="1" applyProtection="1">
      <alignment horizontal="left"/>
    </xf>
    <xf numFmtId="0" fontId="53" fillId="0" borderId="0" xfId="0" applyFont="1" applyAlignment="1" applyProtection="1">
      <alignment horizontal="center"/>
    </xf>
    <xf numFmtId="4" fontId="0" fillId="0" borderId="0" xfId="0" applyNumberFormat="1" applyFont="1" applyFill="1" applyAlignment="1" applyProtection="1">
      <alignment horizontal="center"/>
    </xf>
    <xf numFmtId="176" fontId="4" fillId="0" borderId="0" xfId="0" applyNumberFormat="1" applyFont="1" applyFill="1" applyProtection="1"/>
    <xf numFmtId="4" fontId="0" fillId="0" borderId="0" xfId="0" applyNumberFormat="1" applyFont="1" applyProtection="1"/>
    <xf numFmtId="4" fontId="0" fillId="0" borderId="31" xfId="0" applyNumberFormat="1" applyFont="1" applyBorder="1" applyProtection="1"/>
    <xf numFmtId="4" fontId="0" fillId="0" borderId="0" xfId="0" applyNumberFormat="1" applyFont="1" applyBorder="1" applyAlignment="1" applyProtection="1">
      <alignment horizontal="center"/>
    </xf>
    <xf numFmtId="176" fontId="4" fillId="0" borderId="0" xfId="0" applyNumberFormat="1" applyFont="1" applyFill="1" applyBorder="1" applyProtection="1"/>
    <xf numFmtId="4" fontId="0" fillId="0" borderId="0" xfId="0" applyNumberFormat="1" applyFont="1" applyBorder="1" applyProtection="1"/>
    <xf numFmtId="176" fontId="4" fillId="0" borderId="47" xfId="0" applyNumberFormat="1" applyFont="1" applyFill="1" applyBorder="1" applyProtection="1"/>
    <xf numFmtId="0" fontId="53" fillId="0" borderId="0" xfId="0" applyFont="1" applyBorder="1" applyProtection="1"/>
    <xf numFmtId="176" fontId="4" fillId="0" borderId="0" xfId="1" applyNumberFormat="1" applyFont="1" applyBorder="1" applyProtection="1"/>
    <xf numFmtId="0" fontId="62" fillId="0" borderId="0" xfId="0" applyFont="1" applyProtection="1"/>
    <xf numFmtId="176" fontId="1" fillId="0" borderId="0" xfId="1" applyNumberFormat="1" applyProtection="1"/>
    <xf numFmtId="176" fontId="1" fillId="0" borderId="47" xfId="1" applyNumberFormat="1" applyBorder="1" applyProtection="1"/>
    <xf numFmtId="176" fontId="1" fillId="0" borderId="0" xfId="1" applyNumberFormat="1" applyBorder="1" applyProtection="1"/>
    <xf numFmtId="164" fontId="53" fillId="0" borderId="0" xfId="0" applyNumberFormat="1" applyFont="1" applyProtection="1"/>
    <xf numFmtId="0" fontId="53" fillId="0" borderId="0" xfId="0" applyFont="1" applyFill="1" applyProtection="1"/>
    <xf numFmtId="176" fontId="4" fillId="0" borderId="0" xfId="1" applyNumberFormat="1" applyFont="1" applyProtection="1"/>
    <xf numFmtId="0" fontId="53" fillId="28" borderId="0" xfId="0" applyFont="1" applyFill="1"/>
    <xf numFmtId="0" fontId="0" fillId="28" borderId="0" xfId="0" applyFont="1" applyFill="1"/>
    <xf numFmtId="0" fontId="0" fillId="28" borderId="0" xfId="0" applyFont="1" applyFill="1" applyAlignment="1">
      <alignment horizontal="left"/>
    </xf>
    <xf numFmtId="0" fontId="53" fillId="28" borderId="0" xfId="0" applyFont="1" applyFill="1" applyProtection="1"/>
    <xf numFmtId="0" fontId="0" fillId="28" borderId="0" xfId="0" applyFont="1" applyFill="1" applyProtection="1"/>
    <xf numFmtId="0" fontId="0" fillId="28" borderId="0" xfId="0" applyFont="1" applyFill="1" applyAlignment="1" applyProtection="1">
      <alignment horizontal="left"/>
    </xf>
    <xf numFmtId="0" fontId="53" fillId="28" borderId="0" xfId="0" applyFont="1" applyFill="1" applyAlignment="1" applyProtection="1">
      <alignment horizontal="left"/>
    </xf>
    <xf numFmtId="49" fontId="0" fillId="0" borderId="0" xfId="1" applyNumberFormat="1" applyFont="1" applyProtection="1"/>
    <xf numFmtId="0" fontId="4" fillId="0" borderId="28" xfId="0" applyFont="1" applyBorder="1" applyAlignment="1" applyProtection="1">
      <alignment horizontal="center"/>
    </xf>
    <xf numFmtId="0" fontId="4" fillId="21" borderId="28" xfId="0" applyFont="1" applyFill="1" applyBorder="1" applyAlignment="1" applyProtection="1">
      <alignment horizontal="center"/>
    </xf>
    <xf numFmtId="0" fontId="4" fillId="23" borderId="28" xfId="0" applyFont="1" applyFill="1" applyBorder="1" applyAlignment="1" applyProtection="1">
      <alignment horizontal="center"/>
    </xf>
    <xf numFmtId="0" fontId="0" fillId="0" borderId="28" xfId="0" applyFont="1" applyBorder="1" applyAlignment="1" applyProtection="1">
      <alignment horizontal="center"/>
    </xf>
    <xf numFmtId="0" fontId="27" fillId="0" borderId="0" xfId="0" applyFont="1" applyAlignment="1">
      <alignment horizontal="left"/>
    </xf>
    <xf numFmtId="0" fontId="28" fillId="0" borderId="0" xfId="0" applyFont="1" applyAlignment="1">
      <alignment horizontal="right"/>
    </xf>
    <xf numFmtId="0" fontId="28" fillId="0" borderId="0" xfId="0" applyFont="1"/>
    <xf numFmtId="164" fontId="28" fillId="0" borderId="0" xfId="0" applyNumberFormat="1" applyFont="1"/>
    <xf numFmtId="1" fontId="27" fillId="0" borderId="0" xfId="0" applyNumberFormat="1" applyFont="1"/>
    <xf numFmtId="1" fontId="28" fillId="0" borderId="0" xfId="0" applyNumberFormat="1" applyFont="1"/>
    <xf numFmtId="1" fontId="28" fillId="0" borderId="0" xfId="0" applyNumberFormat="1" applyFont="1" applyAlignment="1">
      <alignment horizontal="center"/>
    </xf>
    <xf numFmtId="0" fontId="28" fillId="0" borderId="0" xfId="0" applyFont="1" applyBorder="1" applyAlignment="1" applyProtection="1">
      <alignment horizontal="left" vertical="top" wrapText="1"/>
      <protection locked="0"/>
    </xf>
    <xf numFmtId="0" fontId="28" fillId="0" borderId="31" xfId="0" applyFont="1" applyBorder="1" applyAlignment="1" applyProtection="1">
      <alignment horizontal="left" vertical="top" wrapText="1"/>
      <protection locked="0"/>
    </xf>
    <xf numFmtId="48" fontId="28" fillId="20" borderId="28" xfId="0" applyNumberFormat="1" applyFont="1" applyFill="1" applyBorder="1" applyProtection="1">
      <protection locked="0"/>
    </xf>
    <xf numFmtId="0" fontId="28" fillId="0" borderId="0" xfId="0" applyFont="1" applyFill="1" applyBorder="1"/>
    <xf numFmtId="43" fontId="28" fillId="20" borderId="28" xfId="1" applyFont="1" applyFill="1" applyBorder="1" applyProtection="1">
      <protection locked="0"/>
    </xf>
    <xf numFmtId="48" fontId="28" fillId="0" borderId="0" xfId="0" applyNumberFormat="1" applyFont="1" applyFill="1" applyBorder="1" applyAlignment="1">
      <alignment horizontal="center"/>
    </xf>
    <xf numFmtId="0" fontId="28" fillId="0" borderId="0" xfId="0" applyNumberFormat="1" applyFont="1" applyBorder="1" applyAlignment="1" applyProtection="1">
      <alignment horizontal="left"/>
    </xf>
    <xf numFmtId="0" fontId="28" fillId="0" borderId="0" xfId="0" applyNumberFormat="1" applyFont="1" applyFill="1" applyBorder="1" applyProtection="1"/>
    <xf numFmtId="0" fontId="28" fillId="0" borderId="0" xfId="0" applyFont="1" applyFill="1" applyBorder="1" applyAlignment="1" applyProtection="1">
      <alignment horizontal="left" vertical="center"/>
    </xf>
    <xf numFmtId="1" fontId="28" fillId="0" borderId="0" xfId="0" applyNumberFormat="1" applyFont="1" applyProtection="1"/>
    <xf numFmtId="3" fontId="28" fillId="0" borderId="0" xfId="0" applyNumberFormat="1" applyFont="1" applyFill="1" applyBorder="1" applyProtection="1"/>
    <xf numFmtId="0" fontId="28" fillId="0" borderId="0" xfId="0" applyFont="1" applyAlignment="1" applyProtection="1">
      <alignment horizontal="right"/>
    </xf>
    <xf numFmtId="164" fontId="28" fillId="0" borderId="0" xfId="0" applyNumberFormat="1" applyFont="1" applyProtection="1"/>
    <xf numFmtId="164" fontId="28" fillId="0" borderId="0" xfId="0" applyNumberFormat="1" applyFont="1" applyFill="1" applyAlignment="1" applyProtection="1">
      <alignment horizontal="center"/>
    </xf>
    <xf numFmtId="167" fontId="21" fillId="5" borderId="2" xfId="2" applyNumberFormat="1" applyFont="1" applyFill="1" applyBorder="1" applyAlignment="1">
      <alignment horizontal="center"/>
    </xf>
    <xf numFmtId="167" fontId="21" fillId="0" borderId="2" xfId="2" applyNumberFormat="1" applyFont="1" applyBorder="1" applyAlignment="1">
      <alignment horizontal="center"/>
    </xf>
    <xf numFmtId="12" fontId="24" fillId="0" borderId="28" xfId="2" applyNumberFormat="1" applyFont="1" applyBorder="1" applyAlignment="1">
      <alignment horizontal="center"/>
    </xf>
    <xf numFmtId="12" fontId="24" fillId="5" borderId="28" xfId="2" applyNumberFormat="1" applyFont="1" applyFill="1" applyBorder="1" applyAlignment="1">
      <alignment horizontal="center"/>
    </xf>
    <xf numFmtId="0" fontId="0" fillId="6" borderId="2" xfId="2" applyFont="1" applyFill="1" applyBorder="1" applyProtection="1">
      <protection locked="0"/>
    </xf>
    <xf numFmtId="164" fontId="0" fillId="21" borderId="28" xfId="0" applyNumberFormat="1" applyFont="1" applyFill="1" applyBorder="1" applyAlignment="1" applyProtection="1">
      <alignment horizontal="center"/>
    </xf>
    <xf numFmtId="164" fontId="0" fillId="23" borderId="28" xfId="0" applyNumberFormat="1" applyFont="1" applyFill="1" applyBorder="1" applyAlignment="1" applyProtection="1">
      <alignment horizontal="center"/>
    </xf>
    <xf numFmtId="164" fontId="0" fillId="23" borderId="28" xfId="0" quotePrefix="1" applyNumberFormat="1" applyFont="1" applyFill="1" applyBorder="1" applyAlignment="1" applyProtection="1">
      <alignment horizontal="center"/>
    </xf>
    <xf numFmtId="0" fontId="42" fillId="0" borderId="0" xfId="0" applyFont="1" applyProtection="1"/>
    <xf numFmtId="0" fontId="42" fillId="0" borderId="0" xfId="0" applyFont="1" applyAlignment="1" applyProtection="1">
      <alignment horizontal="center"/>
    </xf>
    <xf numFmtId="0" fontId="42" fillId="20" borderId="28" xfId="0" applyFont="1" applyFill="1" applyBorder="1" applyAlignment="1" applyProtection="1">
      <alignment horizontal="center"/>
      <protection locked="0"/>
    </xf>
    <xf numFmtId="0" fontId="42" fillId="0" borderId="28" xfId="0" applyFont="1" applyBorder="1" applyProtection="1"/>
    <xf numFmtId="0" fontId="42" fillId="0" borderId="28" xfId="0" applyFont="1" applyBorder="1" applyAlignment="1" applyProtection="1">
      <alignment horizontal="center"/>
    </xf>
    <xf numFmtId="11" fontId="42" fillId="0" borderId="28" xfId="0" applyNumberFormat="1" applyFont="1" applyBorder="1" applyAlignment="1" applyProtection="1">
      <alignment horizontal="center"/>
    </xf>
    <xf numFmtId="11" fontId="42" fillId="0" borderId="0" xfId="0" applyNumberFormat="1" applyFont="1" applyAlignment="1" applyProtection="1">
      <alignment horizontal="center"/>
    </xf>
    <xf numFmtId="9" fontId="42" fillId="0" borderId="0" xfId="4" applyFont="1" applyAlignment="1" applyProtection="1">
      <alignment horizontal="center"/>
    </xf>
    <xf numFmtId="48" fontId="53" fillId="0" borderId="0" xfId="0" applyNumberFormat="1" applyFont="1" applyAlignment="1" applyProtection="1">
      <alignment horizontal="right"/>
    </xf>
    <xf numFmtId="3" fontId="53" fillId="0" borderId="0" xfId="0" applyNumberFormat="1" applyFont="1" applyAlignment="1" applyProtection="1">
      <alignment horizontal="right"/>
    </xf>
    <xf numFmtId="2" fontId="42" fillId="0" borderId="0" xfId="0" applyNumberFormat="1" applyFont="1" applyProtection="1"/>
    <xf numFmtId="1" fontId="42" fillId="0" borderId="0" xfId="0" applyNumberFormat="1" applyFont="1" applyAlignment="1" applyProtection="1">
      <alignment horizontal="right"/>
    </xf>
    <xf numFmtId="1" fontId="42" fillId="0" borderId="0" xfId="0" applyNumberFormat="1" applyFont="1" applyProtection="1"/>
    <xf numFmtId="11" fontId="42" fillId="0" borderId="0" xfId="0" applyNumberFormat="1" applyFont="1" applyProtection="1"/>
    <xf numFmtId="48" fontId="42" fillId="0" borderId="0" xfId="0" applyNumberFormat="1" applyFont="1" applyProtection="1"/>
    <xf numFmtId="9" fontId="42" fillId="0" borderId="28" xfId="4" applyFont="1" applyBorder="1" applyAlignment="1" applyProtection="1">
      <alignment horizontal="center"/>
    </xf>
    <xf numFmtId="177" fontId="42" fillId="0" borderId="28" xfId="4" applyNumberFormat="1" applyFont="1" applyBorder="1" applyAlignment="1" applyProtection="1">
      <alignment horizontal="center"/>
    </xf>
    <xf numFmtId="10" fontId="42" fillId="0" borderId="0" xfId="4" applyNumberFormat="1" applyFont="1" applyAlignment="1" applyProtection="1">
      <alignment horizontal="center"/>
    </xf>
    <xf numFmtId="48" fontId="53" fillId="0" borderId="0" xfId="0" applyNumberFormat="1" applyFont="1" applyBorder="1" applyAlignment="1" applyProtection="1">
      <alignment horizontal="right"/>
    </xf>
    <xf numFmtId="2" fontId="53" fillId="0" borderId="0" xfId="0" applyNumberFormat="1" applyFont="1" applyAlignment="1" applyProtection="1">
      <alignment horizontal="right"/>
    </xf>
    <xf numFmtId="0" fontId="42" fillId="0" borderId="0" xfId="0" applyNumberFormat="1" applyFont="1" applyBorder="1" applyAlignment="1" applyProtection="1">
      <alignment horizontal="left"/>
    </xf>
    <xf numFmtId="0" fontId="42" fillId="0" borderId="0" xfId="0" applyNumberFormat="1" applyFont="1" applyFill="1" applyBorder="1" applyProtection="1"/>
    <xf numFmtId="0" fontId="42" fillId="0" borderId="0" xfId="0" applyFont="1" applyFill="1" applyProtection="1"/>
    <xf numFmtId="0" fontId="4" fillId="0" borderId="0" xfId="0" applyFont="1" applyFill="1" applyBorder="1" applyAlignment="1" applyProtection="1">
      <alignment horizontal="left" vertical="center"/>
    </xf>
    <xf numFmtId="3" fontId="0" fillId="0" borderId="0" xfId="0" applyNumberFormat="1" applyFont="1" applyFill="1" applyBorder="1" applyProtection="1"/>
    <xf numFmtId="11" fontId="42" fillId="0" borderId="28" xfId="0" applyNumberFormat="1" applyFont="1" applyBorder="1" applyAlignment="1" applyProtection="1">
      <alignment horizontal="right"/>
    </xf>
    <xf numFmtId="178" fontId="0" fillId="0" borderId="28" xfId="0" applyNumberFormat="1" applyFont="1" applyFill="1" applyBorder="1" applyAlignment="1" applyProtection="1">
      <alignment horizontal="right" vertical="top"/>
    </xf>
    <xf numFmtId="179" fontId="0" fillId="0" borderId="28" xfId="0" applyNumberFormat="1" applyFont="1" applyFill="1" applyBorder="1" applyAlignment="1" applyProtection="1">
      <alignment horizontal="right" vertical="top"/>
    </xf>
    <xf numFmtId="180" fontId="0" fillId="0" borderId="28" xfId="0" applyNumberFormat="1" applyFont="1" applyFill="1" applyBorder="1" applyAlignment="1" applyProtection="1">
      <alignment horizontal="right" vertical="top"/>
    </xf>
    <xf numFmtId="181" fontId="0" fillId="0" borderId="28" xfId="1" applyNumberFormat="1" applyFont="1" applyBorder="1" applyAlignment="1" applyProtection="1">
      <alignment horizontal="right" vertical="top"/>
    </xf>
    <xf numFmtId="3" fontId="0" fillId="0" borderId="28" xfId="0" applyNumberFormat="1" applyFont="1" applyFill="1" applyBorder="1" applyAlignment="1" applyProtection="1">
      <alignment horizontal="right" vertical="top"/>
    </xf>
    <xf numFmtId="11" fontId="0" fillId="0" borderId="28" xfId="0" applyNumberFormat="1" applyFont="1" applyFill="1" applyBorder="1" applyAlignment="1" applyProtection="1">
      <alignment horizontal="right"/>
    </xf>
    <xf numFmtId="9" fontId="42" fillId="0" borderId="0" xfId="0" applyNumberFormat="1" applyFont="1" applyAlignment="1" applyProtection="1">
      <alignment horizontal="center"/>
    </xf>
    <xf numFmtId="9" fontId="26" fillId="0" borderId="0" xfId="4" applyAlignment="1" applyProtection="1">
      <alignment horizontal="center"/>
    </xf>
    <xf numFmtId="10" fontId="26" fillId="0" borderId="0" xfId="4" applyNumberFormat="1" applyAlignment="1" applyProtection="1">
      <alignment horizontal="center"/>
    </xf>
    <xf numFmtId="3" fontId="42" fillId="0" borderId="0" xfId="0" applyNumberFormat="1" applyFont="1" applyProtection="1"/>
    <xf numFmtId="43" fontId="0" fillId="0" borderId="0" xfId="1" applyFont="1" applyProtection="1"/>
    <xf numFmtId="0" fontId="4" fillId="0" borderId="28" xfId="2" applyFont="1" applyBorder="1" applyAlignment="1" applyProtection="1">
      <alignment horizontal="center"/>
    </xf>
    <xf numFmtId="0" fontId="0" fillId="0" borderId="0" xfId="0" applyFont="1" applyBorder="1" applyAlignment="1" applyProtection="1">
      <alignment horizontal="left" vertical="top" wrapText="1"/>
      <protection locked="0"/>
    </xf>
    <xf numFmtId="0" fontId="4" fillId="0" borderId="28" xfId="0" applyFont="1" applyBorder="1" applyAlignment="1" applyProtection="1">
      <alignment horizontal="center"/>
    </xf>
    <xf numFmtId="0" fontId="4" fillId="21" borderId="28" xfId="0" applyFont="1" applyFill="1" applyBorder="1" applyAlignment="1" applyProtection="1">
      <alignment horizontal="center"/>
    </xf>
    <xf numFmtId="0" fontId="4" fillId="23" borderId="28" xfId="0" applyFont="1" applyFill="1" applyBorder="1" applyAlignment="1" applyProtection="1">
      <alignment horizontal="center"/>
    </xf>
    <xf numFmtId="0" fontId="0" fillId="0" borderId="28" xfId="0" applyFont="1" applyBorder="1" applyAlignment="1" applyProtection="1">
      <alignment horizontal="center"/>
    </xf>
    <xf numFmtId="0" fontId="0" fillId="20" borderId="28" xfId="2" applyFont="1" applyFill="1" applyBorder="1" applyAlignment="1" applyProtection="1">
      <alignment horizontal="center"/>
      <protection locked="0"/>
    </xf>
    <xf numFmtId="0" fontId="4" fillId="40" borderId="28" xfId="0" applyFont="1" applyFill="1" applyBorder="1" applyAlignment="1" applyProtection="1">
      <alignment horizontal="center"/>
    </xf>
    <xf numFmtId="1" fontId="0" fillId="40" borderId="28" xfId="0" applyNumberFormat="1" applyFont="1" applyFill="1" applyBorder="1" applyAlignment="1" applyProtection="1">
      <alignment horizontal="center"/>
    </xf>
    <xf numFmtId="0" fontId="4" fillId="22" borderId="28" xfId="0" applyFont="1" applyFill="1" applyBorder="1" applyAlignment="1" applyProtection="1">
      <alignment horizontal="center"/>
    </xf>
    <xf numFmtId="0" fontId="0" fillId="22" borderId="28" xfId="0" quotePrefix="1" applyFont="1" applyFill="1" applyBorder="1" applyAlignment="1" applyProtection="1">
      <alignment horizontal="center"/>
    </xf>
    <xf numFmtId="1" fontId="0" fillId="22" borderId="28" xfId="0" applyNumberFormat="1" applyFont="1" applyFill="1" applyBorder="1" applyAlignment="1" applyProtection="1">
      <alignment horizontal="center"/>
    </xf>
    <xf numFmtId="0" fontId="4" fillId="23" borderId="28" xfId="0" quotePrefix="1" applyFont="1" applyFill="1" applyBorder="1" applyAlignment="1" applyProtection="1">
      <alignment horizontal="center"/>
    </xf>
    <xf numFmtId="164" fontId="4" fillId="0" borderId="28" xfId="0" applyNumberFormat="1" applyFont="1" applyFill="1" applyBorder="1" applyAlignment="1" applyProtection="1">
      <alignment horizontal="center"/>
    </xf>
    <xf numFmtId="164" fontId="4" fillId="0" borderId="42" xfId="0" applyNumberFormat="1" applyFont="1" applyFill="1" applyBorder="1" applyAlignment="1" applyProtection="1">
      <alignment horizontal="center"/>
    </xf>
    <xf numFmtId="164" fontId="4" fillId="0" borderId="0" xfId="0" applyNumberFormat="1" applyFont="1" applyFill="1" applyBorder="1" applyAlignment="1" applyProtection="1">
      <alignment horizontal="center"/>
    </xf>
    <xf numFmtId="2" fontId="4" fillId="22" borderId="50" xfId="0" applyNumberFormat="1" applyFont="1" applyFill="1" applyBorder="1" applyAlignment="1" applyProtection="1">
      <alignment horizontal="center"/>
    </xf>
    <xf numFmtId="2" fontId="0" fillId="20" borderId="42" xfId="0" applyNumberFormat="1" applyFont="1" applyFill="1" applyBorder="1" applyAlignment="1" applyProtection="1">
      <alignment horizontal="center"/>
      <protection locked="0"/>
    </xf>
    <xf numFmtId="0" fontId="4" fillId="22" borderId="49" xfId="0" applyFont="1" applyFill="1" applyBorder="1" applyAlignment="1" applyProtection="1">
      <alignment horizontal="center"/>
    </xf>
    <xf numFmtId="1" fontId="4" fillId="41" borderId="50" xfId="0" applyNumberFormat="1" applyFont="1" applyFill="1" applyBorder="1" applyAlignment="1" applyProtection="1">
      <alignment horizontal="center"/>
    </xf>
    <xf numFmtId="0" fontId="4" fillId="41" borderId="49" xfId="0" applyFont="1" applyFill="1" applyBorder="1" applyAlignment="1" applyProtection="1">
      <alignment horizontal="center"/>
    </xf>
    <xf numFmtId="164" fontId="4" fillId="39" borderId="50" xfId="0" applyNumberFormat="1" applyFont="1" applyFill="1" applyBorder="1" applyAlignment="1" applyProtection="1">
      <alignment horizontal="center"/>
    </xf>
    <xf numFmtId="0" fontId="4" fillId="39" borderId="49" xfId="0" applyFont="1" applyFill="1" applyBorder="1" applyAlignment="1" applyProtection="1">
      <alignment horizontal="center"/>
    </xf>
    <xf numFmtId="164" fontId="4" fillId="20" borderId="28" xfId="0" applyNumberFormat="1" applyFont="1" applyFill="1" applyBorder="1" applyAlignment="1" applyProtection="1">
      <alignment horizontal="center"/>
      <protection locked="0"/>
    </xf>
    <xf numFmtId="0" fontId="4" fillId="0" borderId="0" xfId="0" applyFont="1" applyFill="1" applyBorder="1" applyAlignment="1" applyProtection="1">
      <alignment horizontal="center"/>
    </xf>
    <xf numFmtId="0" fontId="65" fillId="0" borderId="0" xfId="0" applyFont="1" applyAlignment="1" applyProtection="1">
      <alignment horizontal="center"/>
    </xf>
    <xf numFmtId="49" fontId="0" fillId="20" borderId="28" xfId="0" applyNumberFormat="1" applyFont="1" applyFill="1" applyBorder="1" applyAlignment="1" applyProtection="1">
      <alignment horizontal="center"/>
      <protection locked="0"/>
    </xf>
    <xf numFmtId="164" fontId="28" fillId="20" borderId="28" xfId="0" applyNumberFormat="1" applyFont="1" applyFill="1" applyBorder="1" applyProtection="1">
      <protection locked="0"/>
    </xf>
    <xf numFmtId="165" fontId="28" fillId="20" borderId="28" xfId="4" applyNumberFormat="1" applyFont="1" applyFill="1" applyBorder="1" applyProtection="1">
      <protection locked="0"/>
    </xf>
    <xf numFmtId="164" fontId="27" fillId="0" borderId="0" xfId="0" applyNumberFormat="1" applyFont="1" applyFill="1" applyAlignment="1" applyProtection="1">
      <alignment horizontal="center"/>
    </xf>
    <xf numFmtId="49" fontId="28" fillId="0" borderId="0" xfId="0" applyNumberFormat="1" applyFont="1"/>
    <xf numFmtId="49" fontId="28" fillId="0" borderId="0" xfId="0" applyNumberFormat="1" applyFont="1" applyAlignment="1">
      <alignment horizontal="center"/>
    </xf>
    <xf numFmtId="0" fontId="28" fillId="0" borderId="0" xfId="0" applyFont="1" applyAlignment="1">
      <alignment horizontal="center"/>
    </xf>
    <xf numFmtId="0" fontId="28" fillId="20" borderId="28" xfId="0" applyFont="1" applyFill="1" applyBorder="1" applyAlignment="1" applyProtection="1">
      <alignment horizontal="center"/>
      <protection locked="0"/>
    </xf>
    <xf numFmtId="49" fontId="66" fillId="0" borderId="0" xfId="0" applyNumberFormat="1" applyFont="1"/>
    <xf numFmtId="48" fontId="28" fillId="20" borderId="28" xfId="0" applyNumberFormat="1" applyFont="1" applyFill="1" applyBorder="1" applyAlignment="1" applyProtection="1">
      <alignment horizontal="center"/>
      <protection locked="0"/>
    </xf>
    <xf numFmtId="164" fontId="28" fillId="0" borderId="0" xfId="0" applyNumberFormat="1" applyFont="1" applyFill="1" applyBorder="1" applyProtection="1"/>
    <xf numFmtId="0" fontId="27" fillId="0" borderId="0" xfId="0" applyFont="1" applyFill="1" applyBorder="1" applyAlignment="1" applyProtection="1">
      <alignment horizontal="left" vertical="center"/>
    </xf>
    <xf numFmtId="181" fontId="28" fillId="0" borderId="28" xfId="1" applyNumberFormat="1" applyFont="1" applyBorder="1" applyAlignment="1" applyProtection="1">
      <alignment horizontal="right" vertical="top"/>
    </xf>
    <xf numFmtId="11" fontId="68" fillId="0" borderId="28" xfId="0" applyNumberFormat="1" applyFont="1" applyBorder="1" applyAlignment="1" applyProtection="1">
      <alignment horizontal="right"/>
    </xf>
    <xf numFmtId="0" fontId="68" fillId="0" borderId="28" xfId="0" applyFont="1" applyBorder="1" applyProtection="1"/>
    <xf numFmtId="180" fontId="28" fillId="0" borderId="28" xfId="0" applyNumberFormat="1" applyFont="1" applyFill="1" applyBorder="1" applyAlignment="1" applyProtection="1">
      <alignment horizontal="right" vertical="top"/>
    </xf>
    <xf numFmtId="11" fontId="28" fillId="0" borderId="28" xfId="0" applyNumberFormat="1" applyFont="1" applyFill="1" applyBorder="1" applyAlignment="1" applyProtection="1">
      <alignment horizontal="right"/>
    </xf>
    <xf numFmtId="0" fontId="28" fillId="0" borderId="28" xfId="0" applyFont="1" applyFill="1" applyBorder="1" applyProtection="1"/>
    <xf numFmtId="179" fontId="28" fillId="0" borderId="28" xfId="0" applyNumberFormat="1" applyFont="1" applyFill="1" applyBorder="1" applyAlignment="1" applyProtection="1">
      <alignment horizontal="right" vertical="top"/>
    </xf>
    <xf numFmtId="178" fontId="28" fillId="0" borderId="28" xfId="0" applyNumberFormat="1" applyFont="1" applyFill="1" applyBorder="1" applyAlignment="1" applyProtection="1">
      <alignment horizontal="right" vertical="top"/>
    </xf>
    <xf numFmtId="3" fontId="28" fillId="0" borderId="28" xfId="0" applyNumberFormat="1" applyFont="1" applyFill="1" applyBorder="1" applyAlignment="1" applyProtection="1">
      <alignment horizontal="right" vertical="top"/>
    </xf>
    <xf numFmtId="49" fontId="66" fillId="0" borderId="0" xfId="0" applyNumberFormat="1" applyFont="1" applyProtection="1"/>
    <xf numFmtId="49" fontId="28" fillId="0" borderId="0" xfId="0" applyNumberFormat="1" applyFont="1" applyProtection="1"/>
    <xf numFmtId="49" fontId="28" fillId="0" borderId="0" xfId="0" applyNumberFormat="1" applyFont="1" applyAlignment="1" applyProtection="1">
      <alignment horizontal="center"/>
    </xf>
    <xf numFmtId="0" fontId="28" fillId="0" borderId="0" xfId="0" applyFont="1" applyAlignment="1" applyProtection="1">
      <alignment horizontal="center"/>
    </xf>
    <xf numFmtId="49" fontId="67" fillId="0" borderId="0" xfId="0" applyNumberFormat="1" applyFont="1" applyProtection="1"/>
    <xf numFmtId="49" fontId="27" fillId="0" borderId="0" xfId="0" applyNumberFormat="1" applyFont="1" applyAlignment="1" applyProtection="1">
      <alignment horizontal="center"/>
    </xf>
    <xf numFmtId="49" fontId="28" fillId="0" borderId="0" xfId="0" quotePrefix="1" applyNumberFormat="1" applyFont="1" applyProtection="1"/>
    <xf numFmtId="0" fontId="28" fillId="0" borderId="0" xfId="4" applyNumberFormat="1" applyFont="1" applyAlignment="1" applyProtection="1">
      <alignment horizontal="center"/>
    </xf>
    <xf numFmtId="0" fontId="28" fillId="0" borderId="0" xfId="0" applyNumberFormat="1" applyFont="1" applyAlignment="1" applyProtection="1">
      <alignment horizontal="center"/>
    </xf>
    <xf numFmtId="0" fontId="28" fillId="0" borderId="0" xfId="4" quotePrefix="1" applyNumberFormat="1" applyFont="1" applyAlignment="1" applyProtection="1">
      <alignment horizontal="center"/>
    </xf>
    <xf numFmtId="0" fontId="28" fillId="0" borderId="0" xfId="0" applyFont="1" applyAlignment="1" applyProtection="1"/>
    <xf numFmtId="0" fontId="27" fillId="0" borderId="0" xfId="0" applyFont="1" applyAlignment="1" applyProtection="1">
      <alignment horizontal="left"/>
    </xf>
    <xf numFmtId="1" fontId="27" fillId="0" borderId="0" xfId="0" applyNumberFormat="1" applyFont="1" applyProtection="1"/>
    <xf numFmtId="1" fontId="28" fillId="0" borderId="0" xfId="0" applyNumberFormat="1" applyFont="1" applyAlignment="1" applyProtection="1">
      <alignment horizontal="center"/>
    </xf>
    <xf numFmtId="0" fontId="28" fillId="0" borderId="0" xfId="0" applyFont="1" applyBorder="1" applyAlignment="1" applyProtection="1">
      <alignment horizontal="left" vertical="top" wrapText="1"/>
    </xf>
    <xf numFmtId="0" fontId="28" fillId="0" borderId="31" xfId="0" applyFont="1" applyBorder="1" applyAlignment="1" applyProtection="1">
      <alignment horizontal="left" vertical="top" wrapText="1"/>
    </xf>
    <xf numFmtId="1" fontId="63" fillId="0" borderId="31" xfId="0" applyNumberFormat="1" applyFont="1" applyBorder="1" applyAlignment="1" applyProtection="1">
      <alignment horizontal="center"/>
    </xf>
    <xf numFmtId="164" fontId="64" fillId="0" borderId="0" xfId="0" applyNumberFormat="1" applyFont="1" applyProtection="1"/>
    <xf numFmtId="0" fontId="28" fillId="0" borderId="0" xfId="0" applyFont="1" applyAlignment="1" applyProtection="1">
      <alignment horizontal="left"/>
    </xf>
    <xf numFmtId="1" fontId="27" fillId="0" borderId="0" xfId="0" applyNumberFormat="1" applyFont="1" applyAlignment="1" applyProtection="1">
      <alignment horizontal="center"/>
    </xf>
    <xf numFmtId="165" fontId="27" fillId="0" borderId="0" xfId="4" applyNumberFormat="1" applyFont="1" applyAlignment="1" applyProtection="1">
      <alignment horizontal="center"/>
    </xf>
    <xf numFmtId="164" fontId="28" fillId="0" borderId="0" xfId="0" applyNumberFormat="1" applyFont="1" applyAlignment="1" applyProtection="1">
      <alignment horizontal="left"/>
    </xf>
    <xf numFmtId="0" fontId="64" fillId="0" borderId="0" xfId="0" applyFont="1" applyProtection="1"/>
    <xf numFmtId="0" fontId="27" fillId="28" borderId="0" xfId="0" applyFont="1" applyFill="1" applyAlignment="1" applyProtection="1">
      <alignment horizontal="left"/>
    </xf>
    <xf numFmtId="0" fontId="28" fillId="0" borderId="0" xfId="0" quotePrefix="1" applyFont="1" applyAlignment="1" applyProtection="1">
      <alignment horizontal="left"/>
    </xf>
    <xf numFmtId="0" fontId="28" fillId="0" borderId="0" xfId="0" applyFont="1" applyBorder="1" applyProtection="1"/>
    <xf numFmtId="0" fontId="27" fillId="37" borderId="0" xfId="0" applyFont="1" applyFill="1" applyAlignment="1" applyProtection="1">
      <alignment horizontal="left"/>
    </xf>
    <xf numFmtId="0" fontId="64" fillId="0" borderId="0" xfId="0" applyFont="1" applyBorder="1" applyProtection="1"/>
    <xf numFmtId="0" fontId="28" fillId="0" borderId="0" xfId="0" applyFont="1" applyFill="1" applyBorder="1" applyProtection="1"/>
    <xf numFmtId="48" fontId="27" fillId="0" borderId="0" xfId="0" applyNumberFormat="1" applyFont="1" applyAlignment="1" applyProtection="1">
      <alignment horizontal="center"/>
    </xf>
    <xf numFmtId="0" fontId="27" fillId="32" borderId="0" xfId="0" applyFont="1" applyFill="1" applyAlignment="1" applyProtection="1">
      <alignment horizontal="left"/>
    </xf>
    <xf numFmtId="164" fontId="27" fillId="0" borderId="0" xfId="0" applyNumberFormat="1" applyFont="1" applyAlignment="1" applyProtection="1">
      <alignment horizontal="center"/>
    </xf>
    <xf numFmtId="1" fontId="28" fillId="0" borderId="0" xfId="0" applyNumberFormat="1" applyFont="1" applyBorder="1" applyAlignment="1" applyProtection="1">
      <alignment horizontal="left" vertical="top" wrapText="1"/>
    </xf>
    <xf numFmtId="9" fontId="64" fillId="0" borderId="0" xfId="4" applyFont="1" applyProtection="1"/>
    <xf numFmtId="9" fontId="27" fillId="0" borderId="0" xfId="4" applyFont="1" applyAlignment="1" applyProtection="1">
      <alignment horizontal="center"/>
    </xf>
    <xf numFmtId="43" fontId="64" fillId="0" borderId="0" xfId="1" applyFont="1" applyProtection="1"/>
    <xf numFmtId="2" fontId="27" fillId="0" borderId="0" xfId="1" applyNumberFormat="1" applyFont="1" applyAlignment="1" applyProtection="1">
      <alignment horizontal="center"/>
    </xf>
    <xf numFmtId="9" fontId="28" fillId="0" borderId="0" xfId="4" applyFont="1" applyProtection="1"/>
    <xf numFmtId="1" fontId="27" fillId="0" borderId="0" xfId="0" applyNumberFormat="1" applyFont="1" applyAlignment="1" applyProtection="1">
      <alignment horizontal="left"/>
    </xf>
    <xf numFmtId="48" fontId="28" fillId="0" borderId="0" xfId="0" applyNumberFormat="1" applyFont="1" applyFill="1" applyBorder="1" applyAlignment="1" applyProtection="1">
      <alignment horizontal="center"/>
    </xf>
    <xf numFmtId="1" fontId="27" fillId="0" borderId="0" xfId="0" applyNumberFormat="1" applyFont="1" applyFill="1" applyBorder="1" applyAlignment="1" applyProtection="1">
      <alignment horizontal="center"/>
    </xf>
    <xf numFmtId="0" fontId="61" fillId="0" borderId="0" xfId="0" applyFont="1"/>
    <xf numFmtId="0" fontId="61" fillId="0" borderId="0" xfId="0" applyFont="1" applyAlignment="1">
      <alignment horizontal="center"/>
    </xf>
    <xf numFmtId="0" fontId="61" fillId="20" borderId="0" xfId="0" applyFont="1" applyFill="1" applyProtection="1">
      <protection locked="0"/>
    </xf>
    <xf numFmtId="0" fontId="61" fillId="20" borderId="0" xfId="0" applyFont="1" applyFill="1"/>
    <xf numFmtId="0" fontId="61" fillId="34" borderId="0" xfId="0" applyFont="1" applyFill="1"/>
    <xf numFmtId="0" fontId="61" fillId="38" borderId="0" xfId="0" applyFont="1" applyFill="1"/>
    <xf numFmtId="0" fontId="69" fillId="0" borderId="0" xfId="0" applyNumberFormat="1" applyFont="1" applyBorder="1" applyAlignment="1" applyProtection="1">
      <alignment horizontal="left"/>
    </xf>
    <xf numFmtId="0" fontId="69" fillId="0" borderId="0" xfId="0" applyFont="1"/>
    <xf numFmtId="0" fontId="69" fillId="0" borderId="0" xfId="0" applyNumberFormat="1" applyFont="1" applyFill="1" applyBorder="1" applyProtection="1"/>
    <xf numFmtId="0" fontId="69" fillId="0" borderId="0" xfId="0" applyFont="1" applyFill="1"/>
    <xf numFmtId="0" fontId="70" fillId="0" borderId="0" xfId="2" applyFont="1" applyBorder="1" applyAlignment="1" applyProtection="1">
      <alignment horizontal="left"/>
    </xf>
    <xf numFmtId="0" fontId="71" fillId="0" borderId="0" xfId="2" applyFont="1" applyBorder="1" applyAlignment="1" applyProtection="1">
      <alignment wrapText="1"/>
    </xf>
    <xf numFmtId="0" fontId="28" fillId="0" borderId="0" xfId="2" applyFont="1" applyProtection="1"/>
    <xf numFmtId="0" fontId="71" fillId="0" borderId="1" xfId="2" applyFont="1" applyBorder="1" applyAlignment="1" applyProtection="1">
      <alignment wrapText="1"/>
    </xf>
    <xf numFmtId="0" fontId="70" fillId="6" borderId="2" xfId="2" applyFont="1" applyFill="1" applyBorder="1" applyAlignment="1" applyProtection="1">
      <alignment horizontal="center" vertical="center"/>
      <protection locked="0"/>
    </xf>
    <xf numFmtId="0" fontId="70" fillId="0" borderId="4" xfId="2" applyFont="1" applyBorder="1" applyAlignment="1" applyProtection="1">
      <alignment horizontal="left"/>
    </xf>
    <xf numFmtId="0" fontId="70" fillId="0" borderId="5" xfId="2" applyFont="1" applyBorder="1" applyAlignment="1" applyProtection="1">
      <alignment wrapText="1"/>
    </xf>
    <xf numFmtId="0" fontId="70" fillId="0" borderId="0" xfId="2" applyFont="1" applyBorder="1" applyAlignment="1" applyProtection="1">
      <alignment wrapText="1"/>
    </xf>
    <xf numFmtId="0" fontId="70" fillId="0" borderId="7" xfId="2" applyFont="1" applyBorder="1" applyAlignment="1" applyProtection="1">
      <alignment wrapText="1"/>
    </xf>
    <xf numFmtId="1" fontId="70" fillId="0" borderId="0" xfId="2" applyNumberFormat="1" applyFont="1" applyBorder="1" applyAlignment="1" applyProtection="1">
      <alignment horizontal="center" vertical="center"/>
    </xf>
    <xf numFmtId="0" fontId="70" fillId="0" borderId="1" xfId="2" applyFont="1" applyBorder="1" applyAlignment="1" applyProtection="1">
      <alignment wrapText="1"/>
    </xf>
    <xf numFmtId="165" fontId="27" fillId="6" borderId="2" xfId="4" applyNumberFormat="1" applyFont="1" applyFill="1" applyBorder="1" applyAlignment="1" applyProtection="1">
      <alignment horizontal="center" vertical="center"/>
      <protection locked="0"/>
    </xf>
    <xf numFmtId="0" fontId="71" fillId="0" borderId="7" xfId="2" applyFont="1" applyBorder="1" applyAlignment="1" applyProtection="1">
      <alignment wrapText="1"/>
    </xf>
    <xf numFmtId="3" fontId="27" fillId="0" borderId="0" xfId="1" applyNumberFormat="1" applyFont="1" applyBorder="1" applyAlignment="1" applyProtection="1">
      <alignment horizontal="center" vertical="center"/>
    </xf>
    <xf numFmtId="0" fontId="70" fillId="0" borderId="0" xfId="2" applyFont="1" applyBorder="1" applyAlignment="1" applyProtection="1">
      <alignment horizontal="left" vertical="center"/>
    </xf>
    <xf numFmtId="0" fontId="71" fillId="0" borderId="0" xfId="2" applyFont="1" applyFill="1" applyBorder="1" applyAlignment="1" applyProtection="1">
      <alignment wrapText="1"/>
    </xf>
    <xf numFmtId="0" fontId="28" fillId="0" borderId="0" xfId="2" applyFont="1" applyFill="1" applyProtection="1"/>
    <xf numFmtId="0" fontId="27" fillId="0" borderId="0" xfId="2" applyFont="1" applyAlignment="1" applyProtection="1">
      <alignment horizontal="center"/>
    </xf>
    <xf numFmtId="2" fontId="72" fillId="0" borderId="0" xfId="2" applyNumberFormat="1" applyFont="1" applyFill="1" applyBorder="1" applyAlignment="1" applyProtection="1">
      <alignment horizontal="right"/>
    </xf>
    <xf numFmtId="49" fontId="72" fillId="0" borderId="0" xfId="2" applyNumberFormat="1" applyFont="1" applyFill="1" applyBorder="1" applyAlignment="1" applyProtection="1">
      <alignment horizontal="left"/>
    </xf>
    <xf numFmtId="0" fontId="73" fillId="0" borderId="0" xfId="2" applyFont="1" applyFill="1" applyProtection="1"/>
    <xf numFmtId="0" fontId="73" fillId="0" borderId="0" xfId="0" applyFont="1" applyFill="1" applyProtection="1"/>
    <xf numFmtId="0" fontId="72" fillId="0" borderId="0" xfId="2" applyFont="1" applyFill="1" applyBorder="1" applyAlignment="1" applyProtection="1">
      <alignment wrapText="1"/>
    </xf>
    <xf numFmtId="164" fontId="72" fillId="0" borderId="0" xfId="2" applyNumberFormat="1" applyFont="1" applyFill="1" applyBorder="1" applyAlignment="1" applyProtection="1">
      <alignment horizontal="right" vertical="center"/>
    </xf>
    <xf numFmtId="0" fontId="72" fillId="0" borderId="0" xfId="2" applyFont="1" applyFill="1" applyBorder="1" applyAlignment="1" applyProtection="1">
      <alignment horizontal="left" vertical="center"/>
    </xf>
    <xf numFmtId="0" fontId="72" fillId="0" borderId="0" xfId="2" applyFont="1" applyBorder="1" applyAlignment="1" applyProtection="1">
      <alignment wrapText="1"/>
    </xf>
    <xf numFmtId="0" fontId="28" fillId="0" borderId="0" xfId="2" applyFont="1" applyBorder="1" applyAlignment="1" applyProtection="1">
      <alignment wrapText="1"/>
    </xf>
    <xf numFmtId="0" fontId="28" fillId="0" borderId="0" xfId="2" applyFont="1" applyBorder="1" applyAlignment="1" applyProtection="1">
      <alignment vertical="center"/>
    </xf>
    <xf numFmtId="0" fontId="70" fillId="0" borderId="0" xfId="2" applyFont="1" applyFill="1" applyBorder="1" applyAlignment="1" applyProtection="1">
      <alignment wrapText="1"/>
    </xf>
    <xf numFmtId="0" fontId="44" fillId="0" borderId="0" xfId="0" applyFont="1" applyFill="1"/>
    <xf numFmtId="0" fontId="7" fillId="0" borderId="0" xfId="2" applyFont="1" applyBorder="1" applyAlignment="1" applyProtection="1">
      <alignment horizontal="center" vertical="center"/>
    </xf>
    <xf numFmtId="0" fontId="6" fillId="0" borderId="0" xfId="2" applyFont="1" applyBorder="1" applyAlignment="1" applyProtection="1">
      <alignment horizontal="center" vertical="center" wrapText="1"/>
    </xf>
    <xf numFmtId="2" fontId="7" fillId="0" borderId="28" xfId="2" applyNumberFormat="1" applyFont="1" applyBorder="1" applyAlignment="1" applyProtection="1">
      <alignment horizontal="center" vertical="center"/>
    </xf>
    <xf numFmtId="0" fontId="7" fillId="6" borderId="28" xfId="2" applyFont="1" applyFill="1" applyBorder="1" applyAlignment="1" applyProtection="1">
      <alignment horizontal="center" vertical="center"/>
      <protection locked="0"/>
    </xf>
    <xf numFmtId="0" fontId="5" fillId="0" borderId="0" xfId="2" applyFont="1" applyAlignment="1" applyProtection="1">
      <alignment horizontal="left" vertical="center"/>
    </xf>
    <xf numFmtId="2" fontId="5" fillId="0" borderId="28" xfId="2" applyNumberFormat="1" applyFont="1" applyBorder="1" applyAlignment="1" applyProtection="1">
      <alignment horizontal="center" vertical="center"/>
    </xf>
    <xf numFmtId="2" fontId="4" fillId="0" borderId="28" xfId="2" applyNumberFormat="1" applyFont="1" applyBorder="1" applyAlignment="1" applyProtection="1">
      <alignment horizontal="center" vertical="center"/>
    </xf>
    <xf numFmtId="0" fontId="4" fillId="0" borderId="0" xfId="2" applyFont="1" applyAlignment="1" applyProtection="1">
      <alignment horizontal="left" vertical="center"/>
    </xf>
    <xf numFmtId="0" fontId="4" fillId="0" borderId="0" xfId="2" applyFont="1" applyAlignment="1" applyProtection="1">
      <alignment horizontal="center" vertical="center"/>
    </xf>
    <xf numFmtId="0" fontId="4" fillId="20" borderId="28" xfId="2" applyFont="1" applyFill="1" applyBorder="1" applyAlignment="1" applyProtection="1">
      <alignment horizontal="center" vertical="center"/>
      <protection locked="0"/>
    </xf>
    <xf numFmtId="166" fontId="5" fillId="0" borderId="28" xfId="2" applyNumberFormat="1" applyFont="1" applyBorder="1" applyAlignment="1" applyProtection="1">
      <alignment horizontal="center" vertical="center"/>
    </xf>
    <xf numFmtId="0" fontId="4" fillId="0" borderId="0" xfId="2" applyFont="1" applyBorder="1" applyAlignment="1" applyProtection="1">
      <alignment horizontal="left" vertical="center"/>
    </xf>
    <xf numFmtId="0" fontId="37" fillId="0" borderId="28" xfId="0" applyFont="1" applyBorder="1" applyAlignment="1">
      <alignment horizontal="center" vertical="center"/>
    </xf>
    <xf numFmtId="0" fontId="37" fillId="20" borderId="28" xfId="0" applyFont="1" applyFill="1" applyBorder="1" applyAlignment="1">
      <alignment horizontal="center" vertical="center"/>
    </xf>
    <xf numFmtId="0" fontId="37" fillId="0" borderId="0" xfId="0" applyFont="1" applyAlignment="1">
      <alignment horizontal="center" vertical="center"/>
    </xf>
    <xf numFmtId="0" fontId="74" fillId="0" borderId="28" xfId="2" applyFont="1" applyBorder="1" applyAlignment="1" applyProtection="1">
      <alignment horizontal="center" vertical="center"/>
    </xf>
    <xf numFmtId="0" fontId="74" fillId="20" borderId="28" xfId="2" applyFont="1" applyFill="1" applyBorder="1" applyAlignment="1" applyProtection="1">
      <alignment horizontal="center" vertical="center"/>
    </xf>
    <xf numFmtId="0" fontId="76" fillId="0" borderId="0" xfId="2" applyNumberFormat="1" applyFont="1" applyAlignment="1">
      <alignment horizontal="center" vertical="center"/>
    </xf>
    <xf numFmtId="0" fontId="76" fillId="0" borderId="28" xfId="2" applyNumberFormat="1" applyFont="1" applyBorder="1" applyAlignment="1">
      <alignment horizontal="center" vertical="center"/>
    </xf>
    <xf numFmtId="0" fontId="76" fillId="6" borderId="28" xfId="2" applyNumberFormat="1" applyFont="1" applyFill="1" applyBorder="1" applyAlignment="1">
      <alignment horizontal="center" vertical="center"/>
    </xf>
    <xf numFmtId="0" fontId="38" fillId="42" borderId="28" xfId="0" applyNumberFormat="1" applyFont="1" applyFill="1" applyBorder="1" applyAlignment="1" applyProtection="1">
      <alignment horizontal="center"/>
    </xf>
    <xf numFmtId="0" fontId="38" fillId="23" borderId="28" xfId="0" applyNumberFormat="1" applyFont="1" applyFill="1" applyBorder="1" applyAlignment="1" applyProtection="1">
      <alignment horizontal="center"/>
    </xf>
    <xf numFmtId="0" fontId="77" fillId="0" borderId="0" xfId="2" applyNumberFormat="1" applyFont="1" applyBorder="1" applyAlignment="1">
      <alignment horizontal="center" vertical="center"/>
    </xf>
    <xf numFmtId="0" fontId="76" fillId="0" borderId="0" xfId="2" applyNumberFormat="1" applyFont="1" applyBorder="1" applyAlignment="1">
      <alignment horizontal="center" vertical="center"/>
    </xf>
    <xf numFmtId="0" fontId="78" fillId="0" borderId="28" xfId="42" applyNumberFormat="1" applyFont="1" applyBorder="1" applyAlignment="1" applyProtection="1">
      <alignment horizontal="center" vertical="center"/>
    </xf>
    <xf numFmtId="0" fontId="78" fillId="6" borderId="28" xfId="42" applyNumberFormat="1" applyFont="1" applyFill="1" applyBorder="1" applyAlignment="1" applyProtection="1">
      <alignment horizontal="center" vertical="center"/>
    </xf>
    <xf numFmtId="0" fontId="38" fillId="23" borderId="28" xfId="0" quotePrefix="1" applyNumberFormat="1" applyFont="1" applyFill="1" applyBorder="1" applyAlignment="1" applyProtection="1">
      <alignment horizontal="center"/>
    </xf>
    <xf numFmtId="0" fontId="78" fillId="0" borderId="27" xfId="42" applyNumberFormat="1" applyFont="1" applyBorder="1" applyAlignment="1" applyProtection="1">
      <alignment horizontal="center" vertical="center"/>
    </xf>
    <xf numFmtId="0" fontId="78" fillId="6" borderId="27" xfId="42" applyNumberFormat="1" applyFont="1" applyFill="1" applyBorder="1" applyAlignment="1" applyProtection="1">
      <alignment horizontal="center" vertical="center"/>
    </xf>
    <xf numFmtId="0" fontId="38" fillId="42" borderId="46" xfId="0" applyNumberFormat="1" applyFont="1" applyFill="1" applyBorder="1" applyAlignment="1" applyProtection="1">
      <alignment horizontal="center"/>
    </xf>
    <xf numFmtId="0" fontId="38" fillId="23" borderId="46" xfId="0" applyNumberFormat="1" applyFont="1" applyFill="1" applyBorder="1" applyAlignment="1" applyProtection="1">
      <alignment horizontal="center"/>
    </xf>
    <xf numFmtId="0" fontId="77" fillId="0" borderId="28" xfId="2" applyNumberFormat="1" applyFont="1" applyBorder="1" applyAlignment="1">
      <alignment horizontal="center" vertical="center"/>
    </xf>
    <xf numFmtId="0" fontId="78" fillId="0" borderId="2" xfId="42" applyNumberFormat="1" applyFont="1" applyBorder="1" applyAlignment="1" applyProtection="1">
      <alignment horizontal="center" vertical="center"/>
    </xf>
    <xf numFmtId="0" fontId="78" fillId="6" borderId="2" xfId="42" applyNumberFormat="1" applyFont="1" applyFill="1" applyBorder="1" applyAlignment="1" applyProtection="1">
      <alignment horizontal="center" vertical="center"/>
    </xf>
    <xf numFmtId="0" fontId="38" fillId="42" borderId="28" xfId="0" applyNumberFormat="1" applyFont="1" applyFill="1" applyBorder="1" applyAlignment="1" applyProtection="1">
      <alignment horizontal="center" vertical="center"/>
    </xf>
    <xf numFmtId="0" fontId="38" fillId="23" borderId="28" xfId="0" applyNumberFormat="1" applyFont="1" applyFill="1" applyBorder="1" applyAlignment="1" applyProtection="1">
      <alignment horizontal="center" vertical="center"/>
    </xf>
    <xf numFmtId="0" fontId="76" fillId="43" borderId="28" xfId="2" applyNumberFormat="1" applyFont="1" applyFill="1" applyBorder="1" applyAlignment="1">
      <alignment horizontal="center" vertical="center"/>
    </xf>
    <xf numFmtId="0" fontId="76" fillId="44" borderId="28" xfId="2" applyNumberFormat="1" applyFont="1" applyFill="1" applyBorder="1" applyAlignment="1">
      <alignment horizontal="center" vertical="center"/>
    </xf>
    <xf numFmtId="0" fontId="76" fillId="0" borderId="27" xfId="2" applyNumberFormat="1" applyFont="1" applyBorder="1" applyAlignment="1">
      <alignment horizontal="center" vertical="center"/>
    </xf>
    <xf numFmtId="0" fontId="76" fillId="6" borderId="27" xfId="2" applyNumberFormat="1" applyFont="1" applyFill="1" applyBorder="1" applyAlignment="1">
      <alignment horizontal="center" vertical="center"/>
    </xf>
    <xf numFmtId="0" fontId="76" fillId="43" borderId="46" xfId="2" applyNumberFormat="1" applyFont="1" applyFill="1" applyBorder="1" applyAlignment="1">
      <alignment horizontal="center" vertical="center"/>
    </xf>
    <xf numFmtId="0" fontId="76" fillId="44" borderId="46" xfId="2" applyNumberFormat="1" applyFont="1" applyFill="1" applyBorder="1" applyAlignment="1">
      <alignment horizontal="center" vertical="center"/>
    </xf>
    <xf numFmtId="0" fontId="76" fillId="0" borderId="2" xfId="2" applyNumberFormat="1" applyFont="1" applyBorder="1" applyAlignment="1">
      <alignment horizontal="center" vertical="center"/>
    </xf>
    <xf numFmtId="0" fontId="76" fillId="6" borderId="2" xfId="2" applyNumberFormat="1" applyFont="1" applyFill="1" applyBorder="1" applyAlignment="1">
      <alignment horizontal="center" vertical="center"/>
    </xf>
    <xf numFmtId="0" fontId="6" fillId="0" borderId="0" xfId="2" applyFont="1" applyBorder="1" applyAlignment="1" applyProtection="1">
      <alignment horizontal="left" wrapText="1"/>
    </xf>
    <xf numFmtId="0" fontId="4" fillId="0" borderId="28" xfId="2" applyFont="1" applyBorder="1" applyAlignment="1" applyProtection="1">
      <alignment horizontal="center"/>
    </xf>
    <xf numFmtId="49" fontId="7" fillId="0" borderId="30" xfId="2" applyNumberFormat="1" applyFont="1" applyBorder="1" applyAlignment="1" applyProtection="1">
      <alignment horizontal="center" vertical="center"/>
    </xf>
    <xf numFmtId="49" fontId="7" fillId="0" borderId="28" xfId="2" applyNumberFormat="1" applyFont="1" applyBorder="1" applyAlignment="1" applyProtection="1">
      <alignment horizontal="center" vertical="center"/>
    </xf>
    <xf numFmtId="0" fontId="39" fillId="0" borderId="28" xfId="0" applyFont="1" applyBorder="1" applyAlignment="1" applyProtection="1">
      <alignment horizontal="center"/>
    </xf>
    <xf numFmtId="0" fontId="39" fillId="21" borderId="28" xfId="0" applyFont="1" applyFill="1" applyBorder="1" applyAlignment="1" applyProtection="1">
      <alignment horizontal="center"/>
    </xf>
    <xf numFmtId="0" fontId="39" fillId="23" borderId="28" xfId="0" applyFont="1" applyFill="1" applyBorder="1" applyAlignment="1" applyProtection="1">
      <alignment horizontal="center"/>
    </xf>
    <xf numFmtId="0" fontId="7" fillId="0" borderId="28" xfId="2" applyNumberFormat="1" applyFont="1" applyBorder="1" applyAlignment="1" applyProtection="1">
      <alignment horizontal="center" vertical="center"/>
    </xf>
    <xf numFmtId="0" fontId="7" fillId="0" borderId="0" xfId="2" applyNumberFormat="1" applyFont="1" applyBorder="1" applyAlignment="1" applyProtection="1">
      <alignment horizontal="center" vertical="center"/>
    </xf>
    <xf numFmtId="0" fontId="5" fillId="0" borderId="0" xfId="2" applyNumberFormat="1" applyFont="1" applyFill="1" applyBorder="1" applyAlignment="1" applyProtection="1">
      <alignment horizontal="left" vertical="top"/>
      <protection locked="0"/>
    </xf>
    <xf numFmtId="0" fontId="4" fillId="21" borderId="31" xfId="2" applyFont="1" applyFill="1" applyBorder="1" applyAlignment="1" applyProtection="1">
      <alignment horizontal="center"/>
    </xf>
    <xf numFmtId="0" fontId="4" fillId="23" borderId="31" xfId="2" applyFont="1" applyFill="1" applyBorder="1" applyAlignment="1" applyProtection="1">
      <alignment horizontal="center"/>
    </xf>
    <xf numFmtId="14" fontId="33" fillId="0" borderId="0" xfId="2" applyNumberFormat="1" applyFont="1" applyAlignment="1" applyProtection="1">
      <alignment horizontal="center"/>
    </xf>
    <xf numFmtId="0" fontId="24" fillId="7" borderId="0" xfId="2" applyFont="1" applyFill="1" applyBorder="1" applyAlignment="1" applyProtection="1">
      <alignment horizontal="left"/>
    </xf>
    <xf numFmtId="0" fontId="4" fillId="28" borderId="39" xfId="0" applyFont="1" applyFill="1" applyBorder="1" applyAlignment="1" applyProtection="1">
      <alignment horizontal="center"/>
    </xf>
    <xf numFmtId="0" fontId="4" fillId="28" borderId="40" xfId="0" applyFont="1" applyFill="1" applyBorder="1" applyAlignment="1" applyProtection="1">
      <alignment horizontal="center"/>
    </xf>
    <xf numFmtId="0" fontId="4" fillId="29" borderId="39" xfId="0" applyFont="1" applyFill="1" applyBorder="1" applyAlignment="1" applyProtection="1">
      <alignment horizontal="center"/>
    </xf>
    <xf numFmtId="0" fontId="4" fillId="29" borderId="40" xfId="0" applyFont="1" applyFill="1" applyBorder="1" applyAlignment="1" applyProtection="1">
      <alignment horizontal="center"/>
    </xf>
    <xf numFmtId="0" fontId="4" fillId="33" borderId="39" xfId="0" applyFont="1" applyFill="1" applyBorder="1" applyAlignment="1" applyProtection="1">
      <alignment horizontal="center"/>
    </xf>
    <xf numFmtId="0" fontId="4" fillId="33" borderId="40" xfId="0" applyFont="1" applyFill="1" applyBorder="1" applyAlignment="1" applyProtection="1">
      <alignment horizontal="center"/>
    </xf>
    <xf numFmtId="0" fontId="8" fillId="0" borderId="0" xfId="0" applyFont="1" applyBorder="1" applyAlignment="1" applyProtection="1">
      <alignment horizontal="left" vertical="center"/>
    </xf>
    <xf numFmtId="0" fontId="21" fillId="0" borderId="39" xfId="2" applyFont="1" applyBorder="1" applyAlignment="1">
      <alignment horizontal="center" vertical="center"/>
    </xf>
    <xf numFmtId="0" fontId="21" fillId="0" borderId="41" xfId="2" applyFont="1" applyBorder="1" applyAlignment="1">
      <alignment horizontal="center" vertical="center"/>
    </xf>
    <xf numFmtId="0" fontId="21" fillId="0" borderId="40" xfId="2" applyFont="1" applyBorder="1" applyAlignment="1">
      <alignment horizontal="center" vertical="center"/>
    </xf>
    <xf numFmtId="14" fontId="57" fillId="0" borderId="31" xfId="2" applyNumberFormat="1" applyFont="1" applyFill="1" applyBorder="1" applyAlignment="1">
      <alignment horizontal="center"/>
    </xf>
    <xf numFmtId="0" fontId="57" fillId="0" borderId="31" xfId="2" applyFont="1" applyFill="1" applyBorder="1" applyAlignment="1">
      <alignment horizontal="center"/>
    </xf>
    <xf numFmtId="0" fontId="24" fillId="0" borderId="28" xfId="2" applyFont="1" applyFill="1" applyBorder="1" applyAlignment="1">
      <alignment horizontal="center" vertical="center"/>
    </xf>
    <xf numFmtId="0" fontId="24" fillId="0" borderId="39" xfId="2" applyFont="1" applyFill="1" applyBorder="1" applyAlignment="1">
      <alignment horizontal="center" vertical="center"/>
    </xf>
    <xf numFmtId="0" fontId="24" fillId="0" borderId="41" xfId="2" applyFont="1" applyFill="1" applyBorder="1" applyAlignment="1">
      <alignment horizontal="center" vertical="center"/>
    </xf>
    <xf numFmtId="0" fontId="24" fillId="0" borderId="40" xfId="2" applyFont="1" applyFill="1" applyBorder="1" applyAlignment="1">
      <alignment horizontal="center" vertical="center"/>
    </xf>
    <xf numFmtId="0" fontId="4" fillId="0" borderId="28"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41"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39" xfId="0" applyFont="1" applyBorder="1" applyAlignment="1" applyProtection="1">
      <alignment horizontal="center"/>
    </xf>
    <xf numFmtId="0" fontId="4" fillId="0" borderId="40" xfId="0" applyFont="1" applyBorder="1" applyAlignment="1" applyProtection="1">
      <alignment horizontal="center"/>
    </xf>
    <xf numFmtId="49" fontId="24" fillId="0" borderId="39" xfId="2" applyNumberFormat="1" applyFont="1" applyBorder="1" applyAlignment="1" applyProtection="1">
      <alignment horizontal="center" vertical="center"/>
    </xf>
    <xf numFmtId="49" fontId="24" fillId="0" borderId="40" xfId="2" applyNumberFormat="1" applyFont="1" applyBorder="1" applyAlignment="1" applyProtection="1">
      <alignment horizontal="center" vertical="center"/>
    </xf>
    <xf numFmtId="0" fontId="4" fillId="0" borderId="28" xfId="0" applyFont="1" applyBorder="1" applyAlignment="1" applyProtection="1">
      <alignment horizontal="center"/>
    </xf>
    <xf numFmtId="0" fontId="4" fillId="40" borderId="28" xfId="0" applyFont="1" applyFill="1" applyBorder="1" applyAlignment="1" applyProtection="1">
      <alignment horizontal="center"/>
    </xf>
    <xf numFmtId="0" fontId="4" fillId="22" borderId="28" xfId="0" applyFont="1" applyFill="1" applyBorder="1" applyAlignment="1" applyProtection="1">
      <alignment horizontal="center"/>
    </xf>
    <xf numFmtId="0" fontId="4" fillId="0" borderId="46" xfId="0" applyFont="1" applyBorder="1" applyAlignment="1" applyProtection="1">
      <alignment horizontal="center"/>
    </xf>
    <xf numFmtId="0" fontId="4" fillId="21" borderId="28" xfId="0" applyFont="1" applyFill="1" applyBorder="1" applyAlignment="1" applyProtection="1">
      <alignment horizontal="center"/>
    </xf>
    <xf numFmtId="0" fontId="4" fillId="23" borderId="28" xfId="0" applyFont="1" applyFill="1" applyBorder="1" applyAlignment="1" applyProtection="1">
      <alignment horizontal="center"/>
    </xf>
    <xf numFmtId="0" fontId="0" fillId="0" borderId="28" xfId="0" applyFont="1" applyBorder="1" applyAlignment="1" applyProtection="1">
      <alignment horizontal="left" vertical="top" wrapText="1"/>
      <protection locked="0"/>
    </xf>
    <xf numFmtId="0" fontId="4" fillId="0" borderId="42" xfId="0" applyFont="1" applyFill="1" applyBorder="1" applyAlignment="1" applyProtection="1">
      <alignment horizontal="center" vertical="center" wrapText="1"/>
    </xf>
    <xf numFmtId="0" fontId="4" fillId="0" borderId="46" xfId="0" applyFont="1" applyFill="1" applyBorder="1" applyAlignment="1" applyProtection="1">
      <alignment horizontal="center" vertical="center" wrapText="1"/>
    </xf>
    <xf numFmtId="0" fontId="4" fillId="0" borderId="28" xfId="2" applyFont="1" applyBorder="1" applyAlignment="1" applyProtection="1">
      <alignment horizontal="center" vertical="center"/>
    </xf>
    <xf numFmtId="0" fontId="4" fillId="0" borderId="28" xfId="0" applyFont="1" applyBorder="1" applyAlignment="1" applyProtection="1">
      <alignment horizontal="center" vertical="center"/>
    </xf>
    <xf numFmtId="1" fontId="28" fillId="0" borderId="39" xfId="0" applyNumberFormat="1" applyFont="1" applyBorder="1" applyAlignment="1" applyProtection="1">
      <alignment horizontal="left" vertical="top" wrapText="1"/>
      <protection locked="0"/>
    </xf>
    <xf numFmtId="1" fontId="28" fillId="0" borderId="41" xfId="0" applyNumberFormat="1" applyFont="1" applyBorder="1" applyAlignment="1" applyProtection="1">
      <alignment horizontal="left" vertical="top" wrapText="1"/>
      <protection locked="0"/>
    </xf>
    <xf numFmtId="1" fontId="28" fillId="0" borderId="40" xfId="0" applyNumberFormat="1" applyFont="1" applyBorder="1" applyAlignment="1" applyProtection="1">
      <alignment horizontal="left" vertical="top" wrapText="1"/>
      <protection locked="0"/>
    </xf>
    <xf numFmtId="1" fontId="28" fillId="0" borderId="28" xfId="0" applyNumberFormat="1" applyFont="1" applyBorder="1" applyAlignment="1" applyProtection="1">
      <alignment horizontal="left" vertical="top" wrapText="1"/>
      <protection locked="0"/>
    </xf>
    <xf numFmtId="0" fontId="27" fillId="37" borderId="0" xfId="0" applyFont="1" applyFill="1" applyAlignment="1" applyProtection="1">
      <alignment horizontal="left" vertical="center" wrapText="1"/>
    </xf>
    <xf numFmtId="0" fontId="28" fillId="0" borderId="28" xfId="0" applyFont="1" applyBorder="1" applyAlignment="1" applyProtection="1">
      <alignment horizontal="left" vertical="top"/>
      <protection locked="0"/>
    </xf>
    <xf numFmtId="0" fontId="28" fillId="20" borderId="28" xfId="0" applyFont="1" applyFill="1" applyBorder="1" applyAlignment="1" applyProtection="1">
      <alignment horizontal="left" vertical="center"/>
      <protection locked="0"/>
    </xf>
    <xf numFmtId="1" fontId="28" fillId="0" borderId="33" xfId="0" applyNumberFormat="1" applyFont="1" applyBorder="1" applyAlignment="1" applyProtection="1">
      <alignment horizontal="left" vertical="top" wrapText="1"/>
      <protection locked="0"/>
    </xf>
    <xf numFmtId="1" fontId="28" fillId="0" borderId="32" xfId="0" applyNumberFormat="1" applyFont="1" applyBorder="1" applyAlignment="1" applyProtection="1">
      <alignment horizontal="left" vertical="top" wrapText="1"/>
      <protection locked="0"/>
    </xf>
    <xf numFmtId="1" fontId="28" fillId="0" borderId="34" xfId="0" applyNumberFormat="1" applyFont="1" applyBorder="1" applyAlignment="1" applyProtection="1">
      <alignment horizontal="left" vertical="top" wrapText="1"/>
      <protection locked="0"/>
    </xf>
    <xf numFmtId="1" fontId="28" fillId="0" borderId="37" xfId="0" applyNumberFormat="1" applyFont="1" applyBorder="1" applyAlignment="1" applyProtection="1">
      <alignment horizontal="left" vertical="top" wrapText="1"/>
      <protection locked="0"/>
    </xf>
    <xf numFmtId="1" fontId="28" fillId="0" borderId="31" xfId="0" applyNumberFormat="1" applyFont="1" applyBorder="1" applyAlignment="1" applyProtection="1">
      <alignment horizontal="left" vertical="top" wrapText="1"/>
      <protection locked="0"/>
    </xf>
    <xf numFmtId="1" fontId="28" fillId="0" borderId="38" xfId="0" applyNumberFormat="1" applyFont="1" applyBorder="1" applyAlignment="1" applyProtection="1">
      <alignment horizontal="left" vertical="top" wrapText="1"/>
      <protection locked="0"/>
    </xf>
    <xf numFmtId="0" fontId="27" fillId="28" borderId="0" xfId="0" applyFont="1" applyFill="1" applyAlignment="1" applyProtection="1">
      <alignment horizontal="left" vertical="center" wrapText="1"/>
    </xf>
    <xf numFmtId="0" fontId="27" fillId="32" borderId="0" xfId="0" applyFont="1" applyFill="1" applyAlignment="1" applyProtection="1">
      <alignment horizontal="left" vertical="center" wrapText="1"/>
    </xf>
    <xf numFmtId="182" fontId="27" fillId="0" borderId="28" xfId="0" applyNumberFormat="1" applyFont="1" applyBorder="1" applyAlignment="1" applyProtection="1">
      <alignment horizontal="center"/>
      <protection locked="0"/>
    </xf>
    <xf numFmtId="0" fontId="27" fillId="0" borderId="28" xfId="0" applyFont="1" applyBorder="1" applyAlignment="1" applyProtection="1">
      <alignment horizontal="left" vertical="top" wrapText="1"/>
      <protection locked="0"/>
    </xf>
    <xf numFmtId="1" fontId="28" fillId="0" borderId="28" xfId="0" applyNumberFormat="1" applyFont="1" applyBorder="1" applyAlignment="1" applyProtection="1">
      <alignment horizontal="left" wrapText="1"/>
      <protection locked="0"/>
    </xf>
    <xf numFmtId="0" fontId="28" fillId="0" borderId="28" xfId="0" applyFont="1" applyBorder="1" applyAlignment="1" applyProtection="1">
      <alignment horizontal="left" vertical="top" wrapText="1"/>
      <protection locked="0"/>
    </xf>
    <xf numFmtId="14" fontId="42" fillId="0" borderId="0" xfId="0" applyNumberFormat="1" applyFont="1" applyAlignment="1" applyProtection="1">
      <alignment horizontal="center"/>
    </xf>
    <xf numFmtId="0" fontId="42" fillId="0" borderId="0" xfId="0" applyFont="1" applyAlignment="1" applyProtection="1">
      <alignment horizontal="center"/>
    </xf>
    <xf numFmtId="0" fontId="7" fillId="0" borderId="28" xfId="2" applyFont="1" applyFill="1" applyBorder="1" applyAlignment="1" applyProtection="1">
      <alignment horizontal="center" vertical="center" wrapText="1"/>
    </xf>
    <xf numFmtId="0" fontId="7" fillId="26" borderId="28" xfId="2" applyFont="1" applyFill="1" applyBorder="1" applyAlignment="1" applyProtection="1">
      <alignment horizontal="center" vertical="center" wrapText="1"/>
    </xf>
    <xf numFmtId="0" fontId="21" fillId="0" borderId="28" xfId="2" applyFont="1" applyFill="1" applyBorder="1" applyAlignment="1" applyProtection="1">
      <alignment horizontal="center" vertical="center" wrapText="1"/>
    </xf>
    <xf numFmtId="0" fontId="0" fillId="0" borderId="39" xfId="0" applyFont="1" applyBorder="1" applyAlignment="1" applyProtection="1">
      <alignment horizontal="left" vertical="center"/>
    </xf>
    <xf numFmtId="0" fontId="0" fillId="0" borderId="40" xfId="0" applyFont="1" applyBorder="1" applyAlignment="1" applyProtection="1">
      <alignment horizontal="left" vertical="center"/>
    </xf>
    <xf numFmtId="0" fontId="37" fillId="0" borderId="31" xfId="0" applyFont="1" applyBorder="1" applyAlignment="1" applyProtection="1">
      <alignment horizontal="center"/>
    </xf>
    <xf numFmtId="0" fontId="37" fillId="0" borderId="28" xfId="0" applyFont="1" applyBorder="1" applyAlignment="1" applyProtection="1">
      <alignment horizontal="left"/>
    </xf>
    <xf numFmtId="0" fontId="0" fillId="0" borderId="28" xfId="0" applyFont="1" applyBorder="1" applyAlignment="1" applyProtection="1">
      <alignment horizontal="center"/>
    </xf>
    <xf numFmtId="0" fontId="7" fillId="18" borderId="28" xfId="2" applyFont="1" applyFill="1" applyBorder="1" applyAlignment="1" applyProtection="1">
      <alignment horizontal="center" vertical="center"/>
    </xf>
    <xf numFmtId="10" fontId="12" fillId="0" borderId="32" xfId="2" applyNumberFormat="1" applyFont="1" applyBorder="1" applyAlignment="1" applyProtection="1">
      <alignment horizontal="center" wrapText="1"/>
    </xf>
    <xf numFmtId="10" fontId="12" fillId="0" borderId="31" xfId="2" applyNumberFormat="1" applyFont="1" applyBorder="1" applyAlignment="1" applyProtection="1">
      <alignment horizontal="center" wrapText="1"/>
    </xf>
    <xf numFmtId="0" fontId="34" fillId="0" borderId="32" xfId="2" applyFont="1" applyBorder="1" applyAlignment="1" applyProtection="1">
      <alignment horizontal="center" wrapText="1"/>
    </xf>
    <xf numFmtId="0" fontId="34" fillId="0" borderId="31" xfId="2" applyFont="1" applyBorder="1" applyAlignment="1" applyProtection="1">
      <alignment horizontal="center" wrapText="1"/>
    </xf>
    <xf numFmtId="1" fontId="12" fillId="0" borderId="32" xfId="2" applyNumberFormat="1" applyFont="1" applyBorder="1" applyAlignment="1" applyProtection="1">
      <alignment horizontal="center" wrapText="1"/>
    </xf>
    <xf numFmtId="1" fontId="12" fillId="0" borderId="31" xfId="2" applyNumberFormat="1" applyFont="1" applyBorder="1" applyAlignment="1" applyProtection="1">
      <alignment horizontal="center" wrapText="1"/>
    </xf>
    <xf numFmtId="0" fontId="12" fillId="0" borderId="32" xfId="2" applyFont="1" applyBorder="1" applyAlignment="1" applyProtection="1">
      <alignment horizontal="center" wrapText="1"/>
    </xf>
    <xf numFmtId="0" fontId="12" fillId="0" borderId="31" xfId="2" applyFont="1" applyBorder="1" applyAlignment="1" applyProtection="1">
      <alignment horizontal="center" wrapText="1"/>
    </xf>
    <xf numFmtId="49" fontId="12" fillId="0" borderId="32" xfId="2" applyNumberFormat="1" applyFont="1" applyBorder="1" applyAlignment="1" applyProtection="1">
      <alignment horizontal="center" wrapText="1"/>
    </xf>
    <xf numFmtId="49" fontId="12" fillId="0" borderId="31" xfId="2" applyNumberFormat="1" applyFont="1" applyBorder="1" applyAlignment="1" applyProtection="1">
      <alignment horizontal="center" wrapText="1"/>
    </xf>
    <xf numFmtId="0" fontId="7" fillId="0" borderId="0" xfId="2" applyFont="1" applyFill="1" applyBorder="1" applyAlignment="1" applyProtection="1">
      <alignment horizontal="center" wrapText="1"/>
    </xf>
    <xf numFmtId="0" fontId="7" fillId="0" borderId="1" xfId="2" applyFont="1" applyFill="1" applyBorder="1" applyAlignment="1" applyProtection="1">
      <alignment horizontal="center" wrapText="1"/>
    </xf>
    <xf numFmtId="0" fontId="41" fillId="0" borderId="0" xfId="2" applyFont="1" applyFill="1" applyBorder="1" applyAlignment="1" applyProtection="1">
      <alignment horizontal="center" wrapText="1"/>
    </xf>
    <xf numFmtId="0" fontId="41" fillId="0" borderId="1" xfId="2" applyFont="1" applyFill="1" applyBorder="1" applyAlignment="1" applyProtection="1">
      <alignment horizontal="center" wrapText="1"/>
    </xf>
    <xf numFmtId="0" fontId="32" fillId="0" borderId="32" xfId="2" applyFont="1" applyBorder="1" applyAlignment="1" applyProtection="1">
      <alignment horizontal="center" wrapText="1"/>
    </xf>
    <xf numFmtId="0" fontId="32" fillId="0" borderId="31" xfId="2" applyFont="1" applyBorder="1" applyAlignment="1" applyProtection="1">
      <alignment horizontal="center" wrapText="1"/>
    </xf>
    <xf numFmtId="0" fontId="7" fillId="19" borderId="28" xfId="2" applyFont="1" applyFill="1" applyBorder="1" applyAlignment="1" applyProtection="1">
      <alignment horizontal="center" vertical="center"/>
    </xf>
    <xf numFmtId="0" fontId="75" fillId="0" borderId="0" xfId="2" applyNumberFormat="1" applyFont="1" applyAlignment="1">
      <alignment horizontal="center" vertical="center"/>
    </xf>
    <xf numFmtId="0" fontId="7" fillId="18" borderId="2" xfId="2" applyFont="1" applyFill="1" applyBorder="1" applyAlignment="1" applyProtection="1">
      <alignment horizontal="center" vertical="center"/>
    </xf>
    <xf numFmtId="0" fontId="7" fillId="19" borderId="2" xfId="2" applyFont="1" applyFill="1" applyBorder="1" applyAlignment="1" applyProtection="1">
      <alignment horizontal="center" vertical="center"/>
    </xf>
    <xf numFmtId="14" fontId="11" fillId="0" borderId="0" xfId="2" applyNumberFormat="1" applyFont="1" applyBorder="1" applyAlignment="1" applyProtection="1">
      <alignment horizontal="center" wrapText="1"/>
    </xf>
    <xf numFmtId="0" fontId="11" fillId="0" borderId="0" xfId="2" applyFont="1" applyBorder="1" applyAlignment="1" applyProtection="1">
      <alignment horizontal="center" wrapText="1"/>
    </xf>
    <xf numFmtId="0" fontId="7" fillId="0" borderId="0" xfId="2" applyFont="1" applyBorder="1" applyAlignment="1" applyProtection="1">
      <alignment horizontal="center" vertical="center"/>
    </xf>
    <xf numFmtId="0" fontId="6" fillId="0" borderId="0" xfId="2" applyFont="1" applyBorder="1" applyAlignment="1" applyProtection="1">
      <alignment horizontal="center" vertical="center" wrapText="1"/>
    </xf>
    <xf numFmtId="0" fontId="11" fillId="0" borderId="26" xfId="2" applyFont="1" applyBorder="1" applyAlignment="1" applyProtection="1">
      <alignment horizontal="center" vertical="center" wrapText="1"/>
    </xf>
    <xf numFmtId="0" fontId="11" fillId="0" borderId="0" xfId="2" applyFont="1" applyBorder="1" applyAlignment="1" applyProtection="1">
      <alignment horizontal="center" vertical="center"/>
    </xf>
    <xf numFmtId="0" fontId="24" fillId="0" borderId="0" xfId="2" applyFont="1" applyBorder="1" applyAlignment="1">
      <alignment horizontal="center" vertical="center" wrapText="1"/>
    </xf>
    <xf numFmtId="0" fontId="35" fillId="26" borderId="28" xfId="2" applyFont="1" applyFill="1" applyBorder="1" applyAlignment="1">
      <alignment horizontal="center" vertical="center" wrapText="1"/>
    </xf>
    <xf numFmtId="0" fontId="35" fillId="0" borderId="28" xfId="2" applyFont="1" applyBorder="1" applyAlignment="1">
      <alignment horizontal="center" vertical="center" wrapText="1"/>
    </xf>
    <xf numFmtId="0" fontId="35" fillId="0" borderId="28" xfId="2" applyFont="1" applyFill="1" applyBorder="1" applyAlignment="1">
      <alignment horizontal="center" vertical="center" wrapText="1"/>
    </xf>
    <xf numFmtId="0" fontId="7" fillId="0" borderId="28" xfId="2" applyFont="1" applyBorder="1" applyAlignment="1" applyProtection="1">
      <alignment horizontal="center" vertical="center"/>
    </xf>
    <xf numFmtId="0" fontId="7" fillId="0" borderId="0" xfId="2" applyFont="1" applyBorder="1" applyAlignment="1">
      <alignment horizontal="center" vertical="center"/>
    </xf>
    <xf numFmtId="49" fontId="0" fillId="0" borderId="0" xfId="0" applyNumberFormat="1" applyFont="1" applyBorder="1" applyAlignment="1" applyProtection="1">
      <alignment horizontal="center" vertical="center"/>
    </xf>
    <xf numFmtId="0" fontId="0" fillId="0" borderId="39" xfId="0" applyBorder="1" applyAlignment="1" applyProtection="1">
      <alignment horizontal="center" vertical="center"/>
    </xf>
    <xf numFmtId="0" fontId="0" fillId="0" borderId="40" xfId="0" applyBorder="1" applyAlignment="1" applyProtection="1">
      <alignment horizontal="center" vertical="center"/>
    </xf>
  </cellXfs>
  <cellStyles count="43">
    <cellStyle name="Comma" xfId="1" builtinId="3"/>
    <cellStyle name="Excel Built-in Normal" xfId="2" xr:uid="{00000000-0005-0000-0000-000001000000}"/>
    <cellStyle name="Excel Built-in Normal 1" xfId="42" xr:uid="{3299862D-96E2-4156-8B8E-E0D81EC648CE}"/>
    <cellStyle name="Excel_CondFormat_3_11_1" xfId="3" xr:uid="{00000000-0005-0000-0000-000002000000}"/>
    <cellStyle name="Normal" xfId="0" builtinId="0"/>
    <cellStyle name="Percent" xfId="4" builtinId="5"/>
    <cellStyle name="Untitled1" xfId="5" xr:uid="{00000000-0005-0000-0000-000005000000}"/>
    <cellStyle name="Untitled10" xfId="6" xr:uid="{00000000-0005-0000-0000-000006000000}"/>
    <cellStyle name="Untitled11" xfId="7" xr:uid="{00000000-0005-0000-0000-000007000000}"/>
    <cellStyle name="Untitled12" xfId="8" xr:uid="{00000000-0005-0000-0000-000008000000}"/>
    <cellStyle name="Untitled13" xfId="9" xr:uid="{00000000-0005-0000-0000-000009000000}"/>
    <cellStyle name="Untitled14" xfId="10" xr:uid="{00000000-0005-0000-0000-00000A000000}"/>
    <cellStyle name="Untitled15" xfId="11" xr:uid="{00000000-0005-0000-0000-00000B000000}"/>
    <cellStyle name="Untitled16" xfId="12" xr:uid="{00000000-0005-0000-0000-00000C000000}"/>
    <cellStyle name="Untitled17" xfId="13" xr:uid="{00000000-0005-0000-0000-00000D000000}"/>
    <cellStyle name="Untitled18" xfId="14" xr:uid="{00000000-0005-0000-0000-00000E000000}"/>
    <cellStyle name="Untitled19" xfId="15" xr:uid="{00000000-0005-0000-0000-00000F000000}"/>
    <cellStyle name="Untitled2" xfId="16" xr:uid="{00000000-0005-0000-0000-000010000000}"/>
    <cellStyle name="Untitled20" xfId="17" xr:uid="{00000000-0005-0000-0000-000011000000}"/>
    <cellStyle name="Untitled21" xfId="18" xr:uid="{00000000-0005-0000-0000-000012000000}"/>
    <cellStyle name="Untitled22" xfId="19" xr:uid="{00000000-0005-0000-0000-000013000000}"/>
    <cellStyle name="Untitled23" xfId="20" xr:uid="{00000000-0005-0000-0000-000014000000}"/>
    <cellStyle name="Untitled24" xfId="21" xr:uid="{00000000-0005-0000-0000-000015000000}"/>
    <cellStyle name="Untitled25" xfId="22" xr:uid="{00000000-0005-0000-0000-000016000000}"/>
    <cellStyle name="Untitled26" xfId="23" xr:uid="{00000000-0005-0000-0000-000017000000}"/>
    <cellStyle name="Untitled27" xfId="24" xr:uid="{00000000-0005-0000-0000-000018000000}"/>
    <cellStyle name="Untitled28" xfId="25" xr:uid="{00000000-0005-0000-0000-000019000000}"/>
    <cellStyle name="Untitled29" xfId="26" xr:uid="{00000000-0005-0000-0000-00001A000000}"/>
    <cellStyle name="Untitled3" xfId="27" xr:uid="{00000000-0005-0000-0000-00001B000000}"/>
    <cellStyle name="Untitled30" xfId="28" xr:uid="{00000000-0005-0000-0000-00001C000000}"/>
    <cellStyle name="Untitled31" xfId="29" xr:uid="{00000000-0005-0000-0000-00001D000000}"/>
    <cellStyle name="Untitled32" xfId="30" xr:uid="{00000000-0005-0000-0000-00001E000000}"/>
    <cellStyle name="Untitled33" xfId="31" xr:uid="{00000000-0005-0000-0000-00001F000000}"/>
    <cellStyle name="Untitled34" xfId="32" xr:uid="{00000000-0005-0000-0000-000020000000}"/>
    <cellStyle name="Untitled35" xfId="33" xr:uid="{00000000-0005-0000-0000-000021000000}"/>
    <cellStyle name="Untitled36" xfId="34" xr:uid="{00000000-0005-0000-0000-000022000000}"/>
    <cellStyle name="Untitled37" xfId="35" xr:uid="{00000000-0005-0000-0000-000023000000}"/>
    <cellStyle name="Untitled4" xfId="36" xr:uid="{00000000-0005-0000-0000-000024000000}"/>
    <cellStyle name="Untitled5" xfId="37" xr:uid="{00000000-0005-0000-0000-000025000000}"/>
    <cellStyle name="Untitled6" xfId="38" xr:uid="{00000000-0005-0000-0000-000026000000}"/>
    <cellStyle name="Untitled7" xfId="39" xr:uid="{00000000-0005-0000-0000-000027000000}"/>
    <cellStyle name="Untitled8" xfId="40" xr:uid="{00000000-0005-0000-0000-000028000000}"/>
    <cellStyle name="Untitled9" xfId="41" xr:uid="{00000000-0005-0000-0000-000029000000}"/>
  </cellStyles>
  <dxfs count="9">
    <dxf>
      <fill>
        <patternFill>
          <bgColor rgb="FF92D050"/>
        </patternFill>
      </fill>
    </dxf>
    <dxf>
      <font>
        <color rgb="FF9C0006"/>
      </font>
      <fill>
        <patternFill>
          <bgColor rgb="FFFFC7CE"/>
        </patternFill>
      </fill>
    </dxf>
    <dxf>
      <fill>
        <patternFill>
          <bgColor rgb="FF92D050"/>
        </patternFill>
      </fill>
    </dxf>
    <dxf>
      <font>
        <color rgb="FF9C0006"/>
      </font>
      <fill>
        <patternFill>
          <bgColor rgb="FFFFC7CE"/>
        </patternFill>
      </fill>
    </dxf>
    <dxf>
      <fill>
        <patternFill>
          <bgColor rgb="FF92D050"/>
        </patternFill>
      </fill>
    </dxf>
    <dxf>
      <font>
        <color rgb="FF9C0006"/>
      </font>
      <fill>
        <patternFill>
          <bgColor rgb="FFFFC7CE"/>
        </patternFill>
      </fill>
    </dxf>
    <dxf>
      <fill>
        <patternFill>
          <bgColor rgb="FF92D050"/>
        </patternFill>
      </fill>
    </dxf>
    <dxf>
      <font>
        <color rgb="FF9C0006"/>
      </font>
      <fill>
        <patternFill>
          <bgColor rgb="FFFFC7CE"/>
        </patternFill>
      </fill>
    </dxf>
    <dxf>
      <font>
        <color rgb="FF92D050"/>
      </font>
      <fill>
        <patternFill>
          <bgColor rgb="FF92D05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33"/>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2F2F2"/>
      <rgbColor rgb="00CCFFFF"/>
      <rgbColor rgb="00660066"/>
      <rgbColor rgb="00FF9999"/>
      <rgbColor rgb="000066CC"/>
      <rgbColor rgb="00B8CCE4"/>
      <rgbColor rgb="00000080"/>
      <rgbColor rgb="00FF00FF"/>
      <rgbColor rgb="00FFFF66"/>
      <rgbColor rgb="0000FFFF"/>
      <rgbColor rgb="00800080"/>
      <rgbColor rgb="00800000"/>
      <rgbColor rgb="00008080"/>
      <rgbColor rgb="000000FF"/>
      <rgbColor rgb="0000CCFF"/>
      <rgbColor rgb="00D2DBE5"/>
      <rgbColor rgb="00CCFFCC"/>
      <rgbColor rgb="00FFFF99"/>
      <rgbColor rgb="0099CCFF"/>
      <rgbColor rgb="00FF99CC"/>
      <rgbColor rgb="00CC99FF"/>
      <rgbColor rgb="00FFCC99"/>
      <rgbColor rgb="003366FF"/>
      <rgbColor rgb="0033FF99"/>
      <rgbColor rgb="0099CC00"/>
      <rgbColor rgb="00FFCC00"/>
      <rgbColor rgb="00FF9900"/>
      <rgbColor rgb="00FF6600"/>
      <rgbColor rgb="00666699"/>
      <rgbColor rgb="00999999"/>
      <rgbColor rgb="00003366"/>
      <rgbColor rgb="0000CC33"/>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mailto:wyomingelectrician@gmail.com" TargetMode="External"/><Relationship Id="rId1" Type="http://schemas.openxmlformats.org/officeDocument/2006/relationships/hyperlink" Target="mailto:wyomingelectrician@gmail.com"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mailto:wyomingelectrician@gmail.com" TargetMode="External"/><Relationship Id="rId1" Type="http://schemas.openxmlformats.org/officeDocument/2006/relationships/hyperlink" Target="mailto:wyomingelectrician@gmail.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wyomingelectrician@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mailto:wyomingelectrician@gmail.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wyomingelectrician@gmail.com"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mailto:wyomingelectrician@gmail.com"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mailto:wyomingelectrician@gmail.com"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mailto:wyomingelectrician@gmail.com"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mailto:wyomingelectrician@gmail.com"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printerSettings" Target="../printerSettings/printerSettings48.bin"/><Relationship Id="rId1" Type="http://schemas.openxmlformats.org/officeDocument/2006/relationships/hyperlink" Target="mailto:wyomingelectrician@gmail.com" TargetMode="External"/></Relationships>
</file>

<file path=xl/worksheets/_rels/sheet4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F22"/>
  <sheetViews>
    <sheetView topLeftCell="A10" workbookViewId="0">
      <selection activeCell="D22" sqref="D22"/>
    </sheetView>
  </sheetViews>
  <sheetFormatPr defaultColWidth="11.5703125" defaultRowHeight="15.75"/>
  <cols>
    <col min="1" max="1" width="11.5703125" style="1123"/>
    <col min="2" max="2" width="14" style="1123" customWidth="1"/>
    <col min="3" max="16384" width="11.5703125" style="1123"/>
  </cols>
  <sheetData>
    <row r="1" spans="1:6">
      <c r="A1" s="1123" t="s">
        <v>0</v>
      </c>
    </row>
    <row r="3" spans="1:6">
      <c r="A3" s="1124">
        <v>1</v>
      </c>
      <c r="B3" s="1123" t="s">
        <v>963</v>
      </c>
    </row>
    <row r="4" spans="1:6">
      <c r="A4" s="1124">
        <v>2</v>
      </c>
      <c r="B4" s="1125" t="s">
        <v>1026</v>
      </c>
      <c r="C4" s="1125"/>
      <c r="D4" s="1125"/>
      <c r="E4" s="1125"/>
    </row>
    <row r="5" spans="1:6">
      <c r="A5" s="1124">
        <v>3</v>
      </c>
      <c r="B5" s="1123" t="s">
        <v>1</v>
      </c>
    </row>
    <row r="6" spans="1:6">
      <c r="A6" s="1124">
        <v>4</v>
      </c>
      <c r="B6" s="1123" t="s">
        <v>2</v>
      </c>
    </row>
    <row r="7" spans="1:6">
      <c r="A7" s="1124">
        <v>5</v>
      </c>
      <c r="B7" s="1123" t="s">
        <v>928</v>
      </c>
    </row>
    <row r="8" spans="1:6">
      <c r="A8" s="1124">
        <v>6</v>
      </c>
      <c r="B8" s="1123" t="s">
        <v>1027</v>
      </c>
    </row>
    <row r="9" spans="1:6">
      <c r="A9" s="1124">
        <v>7</v>
      </c>
      <c r="B9" s="1123" t="s">
        <v>1242</v>
      </c>
    </row>
    <row r="10" spans="1:6">
      <c r="A10" s="1124">
        <v>8</v>
      </c>
      <c r="B10" s="1123" t="s">
        <v>1139</v>
      </c>
      <c r="F10" s="1162" t="s">
        <v>1246</v>
      </c>
    </row>
    <row r="11" spans="1:6">
      <c r="A11" s="1124">
        <v>9</v>
      </c>
      <c r="B11" s="1126" t="s">
        <v>1133</v>
      </c>
      <c r="C11" s="1123" t="s">
        <v>1134</v>
      </c>
    </row>
    <row r="12" spans="1:6">
      <c r="A12" s="1124">
        <v>10</v>
      </c>
      <c r="B12" s="1127" t="s">
        <v>1135</v>
      </c>
      <c r="C12" s="1123" t="s">
        <v>1136</v>
      </c>
    </row>
    <row r="13" spans="1:6">
      <c r="A13" s="1124">
        <v>11</v>
      </c>
      <c r="B13" s="1128" t="s">
        <v>1137</v>
      </c>
      <c r="C13" s="1123" t="s">
        <v>1138</v>
      </c>
    </row>
    <row r="14" spans="1:6">
      <c r="A14" s="1124">
        <v>12</v>
      </c>
      <c r="B14" s="1123" t="s">
        <v>1132</v>
      </c>
    </row>
    <row r="15" spans="1:6">
      <c r="A15" s="1124">
        <v>13</v>
      </c>
      <c r="B15" s="1123" t="s">
        <v>929</v>
      </c>
    </row>
    <row r="16" spans="1:6">
      <c r="A16" s="1124">
        <v>14</v>
      </c>
      <c r="B16" s="1123" t="s">
        <v>755</v>
      </c>
    </row>
    <row r="17" spans="1:1">
      <c r="A17" s="1124"/>
    </row>
    <row r="18" spans="1:1" s="1130" customFormat="1">
      <c r="A18" s="1129" t="s">
        <v>666</v>
      </c>
    </row>
    <row r="19" spans="1:1" s="1130" customFormat="1">
      <c r="A19" s="1131" t="s">
        <v>1236</v>
      </c>
    </row>
    <row r="20" spans="1:1" s="1130" customFormat="1">
      <c r="A20" s="1132" t="s">
        <v>763</v>
      </c>
    </row>
    <row r="21" spans="1:1" s="1130" customFormat="1">
      <c r="A21" s="1129" t="s">
        <v>766</v>
      </c>
    </row>
    <row r="22" spans="1:1">
      <c r="A22" s="1129" t="s">
        <v>3</v>
      </c>
    </row>
  </sheetData>
  <sheetProtection algorithmName="SHA-512" hashValue="FIYgCutW0eRVw2d8RksIc3MAkXbmUk8Jr/n1XcEQ9Qg0QBTVXU2HmeUZ0K82jT7B51TwCG65L9L2t+PFgNinuw==" saltValue="EnKSJD67HFbVnKUN0VavzA==" spinCount="100000" sheet="1" objects="1" scenarios="1"/>
  <pageMargins left="0.78749999999999998" right="0.78749999999999998" top="0.78749999999999998" bottom="0.78749999999999998" header="0.51180555555555551" footer="0.51180555555555551"/>
  <pageSetup scale="87" firstPageNumber="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IV15"/>
  <sheetViews>
    <sheetView workbookViewId="0">
      <selection activeCell="K9" sqref="K9"/>
    </sheetView>
  </sheetViews>
  <sheetFormatPr defaultColWidth="19.7109375" defaultRowHeight="12.75"/>
  <cols>
    <col min="1" max="6" width="8.85546875" style="569" customWidth="1"/>
    <col min="7" max="7" width="8.85546875" style="569" hidden="1" customWidth="1"/>
    <col min="8" max="8" width="8.85546875" style="569" customWidth="1"/>
    <col min="9" max="9" width="8.85546875" style="569" hidden="1" customWidth="1"/>
    <col min="10" max="12" width="8.85546875" style="569" customWidth="1"/>
    <col min="13" max="13" width="8.85546875" style="569" hidden="1" customWidth="1"/>
    <col min="14" max="14" width="8.85546875" style="569" customWidth="1"/>
    <col min="15" max="16" width="8.85546875" style="569" hidden="1" customWidth="1"/>
    <col min="17" max="18" width="8.85546875" style="569" customWidth="1"/>
    <col min="19" max="19" width="8.28515625" style="574" customWidth="1"/>
    <col min="20" max="256" width="19.7109375" style="569"/>
  </cols>
  <sheetData>
    <row r="1" spans="1:19">
      <c r="A1" s="567"/>
      <c r="B1" s="567"/>
      <c r="C1" s="567"/>
      <c r="D1" s="567"/>
      <c r="E1" s="567"/>
      <c r="F1" s="567"/>
      <c r="G1" s="567"/>
      <c r="H1" s="567"/>
      <c r="I1" s="567"/>
      <c r="J1" s="567"/>
      <c r="K1" s="567"/>
      <c r="L1" s="567"/>
      <c r="M1" s="567"/>
      <c r="N1" s="567"/>
      <c r="O1" s="567"/>
      <c r="P1" s="567"/>
      <c r="Q1" s="1231">
        <v>42689</v>
      </c>
      <c r="R1" s="1232"/>
      <c r="S1" s="568"/>
    </row>
    <row r="2" spans="1:19">
      <c r="A2" s="1233" t="s">
        <v>493</v>
      </c>
      <c r="B2" s="1233"/>
      <c r="C2" s="1233"/>
      <c r="D2" s="1233"/>
      <c r="E2" s="1233"/>
      <c r="F2" s="1233"/>
      <c r="G2" s="1233"/>
      <c r="H2" s="1233"/>
      <c r="I2" s="1233"/>
      <c r="J2" s="1233"/>
      <c r="K2" s="1233"/>
      <c r="L2" s="1233"/>
      <c r="M2" s="1233"/>
      <c r="N2" s="1233"/>
      <c r="O2" s="1233"/>
      <c r="P2" s="1233"/>
      <c r="Q2" s="1233"/>
      <c r="R2" s="1233"/>
      <c r="S2" s="570"/>
    </row>
    <row r="3" spans="1:19" ht="38.25">
      <c r="A3" s="571" t="s">
        <v>252</v>
      </c>
      <c r="B3" s="572" t="s">
        <v>275</v>
      </c>
      <c r="C3" s="571" t="s">
        <v>93</v>
      </c>
      <c r="D3" s="573">
        <v>1.25</v>
      </c>
      <c r="E3" s="573">
        <v>1.75</v>
      </c>
      <c r="F3" s="573">
        <v>2.5</v>
      </c>
      <c r="G3" s="573" t="s">
        <v>494</v>
      </c>
      <c r="H3" s="573" t="s">
        <v>478</v>
      </c>
      <c r="I3" s="573" t="s">
        <v>789</v>
      </c>
      <c r="J3" s="571" t="s">
        <v>482</v>
      </c>
      <c r="K3" s="571" t="s">
        <v>479</v>
      </c>
      <c r="L3" s="571" t="s">
        <v>495</v>
      </c>
      <c r="M3" s="571" t="s">
        <v>782</v>
      </c>
      <c r="N3" s="571" t="s">
        <v>496</v>
      </c>
      <c r="O3" s="571" t="s">
        <v>782</v>
      </c>
      <c r="P3" s="571" t="s">
        <v>483</v>
      </c>
      <c r="Q3" s="571" t="s">
        <v>497</v>
      </c>
      <c r="R3" s="571" t="s">
        <v>498</v>
      </c>
    </row>
    <row r="4" spans="1:19">
      <c r="A4" s="575">
        <v>200</v>
      </c>
      <c r="B4" s="576">
        <f t="shared" ref="B4:B9" si="0">A4*0.746</f>
        <v>149.19999999999999</v>
      </c>
      <c r="C4" s="576">
        <v>240</v>
      </c>
      <c r="D4" s="576">
        <f t="shared" ref="D4:D9" si="1">C4*1.25</f>
        <v>300</v>
      </c>
      <c r="E4" s="576">
        <f t="shared" ref="E4:E9" si="2">C4*1.75</f>
        <v>420</v>
      </c>
      <c r="F4" s="576">
        <f t="shared" ref="F4:F9" si="3">C4*2.5</f>
        <v>600</v>
      </c>
      <c r="G4" s="576">
        <f t="shared" ref="G4:G7" si="4">D4/2</f>
        <v>150</v>
      </c>
      <c r="H4" s="576">
        <v>450</v>
      </c>
      <c r="I4" s="576">
        <v>600</v>
      </c>
      <c r="J4" s="575">
        <v>600</v>
      </c>
      <c r="K4" s="575">
        <v>5</v>
      </c>
      <c r="L4" s="575" t="s">
        <v>18</v>
      </c>
      <c r="M4" s="575">
        <v>0.1855</v>
      </c>
      <c r="N4" s="575">
        <v>2</v>
      </c>
      <c r="O4" s="575">
        <v>0.1158</v>
      </c>
      <c r="P4" s="575">
        <f t="shared" ref="P4:P9" si="5">(M4*3)+O4</f>
        <v>0.67230000000000001</v>
      </c>
      <c r="Q4" s="993">
        <v>1.5</v>
      </c>
      <c r="R4" s="575">
        <v>2</v>
      </c>
    </row>
    <row r="5" spans="1:19">
      <c r="A5" s="577">
        <v>250</v>
      </c>
      <c r="B5" s="578">
        <f t="shared" si="0"/>
        <v>186.5</v>
      </c>
      <c r="C5" s="578">
        <v>302</v>
      </c>
      <c r="D5" s="578">
        <f t="shared" si="1"/>
        <v>377.5</v>
      </c>
      <c r="E5" s="578">
        <f t="shared" si="2"/>
        <v>528.5</v>
      </c>
      <c r="F5" s="578">
        <f t="shared" si="3"/>
        <v>755</v>
      </c>
      <c r="G5" s="578">
        <f t="shared" si="4"/>
        <v>188.75</v>
      </c>
      <c r="H5" s="578">
        <v>600</v>
      </c>
      <c r="I5" s="577">
        <v>800</v>
      </c>
      <c r="J5" s="577">
        <v>600</v>
      </c>
      <c r="K5" s="577">
        <v>6</v>
      </c>
      <c r="L5" s="577" t="s">
        <v>22</v>
      </c>
      <c r="M5" s="577">
        <v>0.26790000000000003</v>
      </c>
      <c r="N5" s="577">
        <v>1</v>
      </c>
      <c r="O5" s="577">
        <v>0.15620000000000001</v>
      </c>
      <c r="P5" s="577">
        <f t="shared" si="5"/>
        <v>0.95990000000000009</v>
      </c>
      <c r="Q5" s="577">
        <v>2</v>
      </c>
      <c r="R5" s="992">
        <v>2.5</v>
      </c>
    </row>
    <row r="6" spans="1:19">
      <c r="A6" s="575">
        <v>300</v>
      </c>
      <c r="B6" s="576">
        <f t="shared" si="0"/>
        <v>223.8</v>
      </c>
      <c r="C6" s="576">
        <v>361</v>
      </c>
      <c r="D6" s="576">
        <f t="shared" si="1"/>
        <v>451.25</v>
      </c>
      <c r="E6" s="576">
        <f t="shared" si="2"/>
        <v>631.75</v>
      </c>
      <c r="F6" s="576">
        <f t="shared" si="3"/>
        <v>902.5</v>
      </c>
      <c r="G6" s="576">
        <f t="shared" si="4"/>
        <v>225.625</v>
      </c>
      <c r="H6" s="576">
        <v>700</v>
      </c>
      <c r="I6" s="576">
        <v>1000</v>
      </c>
      <c r="J6" s="575">
        <v>800</v>
      </c>
      <c r="K6" s="575">
        <v>6</v>
      </c>
      <c r="L6" s="575" t="s">
        <v>23</v>
      </c>
      <c r="M6" s="575">
        <v>0.32370000000000004</v>
      </c>
      <c r="N6" s="575" t="s">
        <v>18</v>
      </c>
      <c r="O6" s="575">
        <v>0.1855</v>
      </c>
      <c r="P6" s="575">
        <f t="shared" si="5"/>
        <v>1.1566000000000001</v>
      </c>
      <c r="Q6" s="575">
        <v>2</v>
      </c>
      <c r="R6" s="993">
        <v>2.5</v>
      </c>
    </row>
    <row r="7" spans="1:19">
      <c r="A7" s="577">
        <v>350</v>
      </c>
      <c r="B7" s="578">
        <f t="shared" si="0"/>
        <v>261.10000000000002</v>
      </c>
      <c r="C7" s="578">
        <v>414</v>
      </c>
      <c r="D7" s="578">
        <f t="shared" si="1"/>
        <v>517.5</v>
      </c>
      <c r="E7" s="578">
        <f t="shared" si="2"/>
        <v>724.5</v>
      </c>
      <c r="F7" s="578">
        <f t="shared" si="3"/>
        <v>1035</v>
      </c>
      <c r="G7" s="578">
        <f t="shared" si="4"/>
        <v>258.75</v>
      </c>
      <c r="H7" s="578">
        <v>800</v>
      </c>
      <c r="I7" s="577">
        <v>1200</v>
      </c>
      <c r="J7" s="577">
        <v>800</v>
      </c>
      <c r="K7" s="577">
        <v>6</v>
      </c>
      <c r="L7" s="577">
        <v>300</v>
      </c>
      <c r="M7" s="577">
        <v>0.46080000000000004</v>
      </c>
      <c r="N7" s="577" t="s">
        <v>18</v>
      </c>
      <c r="O7" s="577">
        <v>0.1855</v>
      </c>
      <c r="P7" s="577">
        <f t="shared" si="5"/>
        <v>1.5679000000000001</v>
      </c>
      <c r="Q7" s="992">
        <v>2.5</v>
      </c>
      <c r="R7" s="577">
        <v>3</v>
      </c>
    </row>
    <row r="8" spans="1:19">
      <c r="A8" s="575">
        <v>400</v>
      </c>
      <c r="B8" s="576">
        <f t="shared" si="0"/>
        <v>298.39999999999998</v>
      </c>
      <c r="C8" s="576">
        <v>477</v>
      </c>
      <c r="D8" s="576">
        <f t="shared" si="1"/>
        <v>596.25</v>
      </c>
      <c r="E8" s="576">
        <f t="shared" si="2"/>
        <v>834.75</v>
      </c>
      <c r="F8" s="576">
        <f t="shared" si="3"/>
        <v>1192.5</v>
      </c>
      <c r="G8" s="576">
        <v>500</v>
      </c>
      <c r="H8" s="576">
        <v>1000</v>
      </c>
      <c r="I8" s="576">
        <v>1200</v>
      </c>
      <c r="J8" s="575">
        <v>1200</v>
      </c>
      <c r="K8" s="575">
        <v>6</v>
      </c>
      <c r="L8" s="575">
        <v>900</v>
      </c>
      <c r="M8" s="575">
        <v>1.2311000000000001</v>
      </c>
      <c r="N8" s="575" t="s">
        <v>20</v>
      </c>
      <c r="O8" s="575">
        <v>0.2223</v>
      </c>
      <c r="P8" s="575">
        <f t="shared" si="5"/>
        <v>3.9156000000000004</v>
      </c>
      <c r="Q8" s="993">
        <v>3.5</v>
      </c>
      <c r="R8" s="575">
        <v>5</v>
      </c>
    </row>
    <row r="9" spans="1:19">
      <c r="A9" s="577">
        <v>450</v>
      </c>
      <c r="B9" s="578">
        <f t="shared" si="0"/>
        <v>335.7</v>
      </c>
      <c r="C9" s="578">
        <v>515</v>
      </c>
      <c r="D9" s="578">
        <f t="shared" si="1"/>
        <v>643.75</v>
      </c>
      <c r="E9" s="578">
        <f t="shared" si="2"/>
        <v>901.25</v>
      </c>
      <c r="F9" s="578">
        <f t="shared" si="3"/>
        <v>1287.5</v>
      </c>
      <c r="G9" s="578">
        <v>500</v>
      </c>
      <c r="H9" s="578">
        <v>1000</v>
      </c>
      <c r="I9" s="577">
        <v>1600</v>
      </c>
      <c r="J9" s="577">
        <v>1200</v>
      </c>
      <c r="K9" s="577">
        <v>7</v>
      </c>
      <c r="L9" s="577">
        <v>900</v>
      </c>
      <c r="M9" s="577">
        <v>1.2311000000000001</v>
      </c>
      <c r="N9" s="577" t="s">
        <v>20</v>
      </c>
      <c r="O9" s="577">
        <v>0.2223</v>
      </c>
      <c r="P9" s="577">
        <f t="shared" si="5"/>
        <v>3.9156000000000004</v>
      </c>
      <c r="Q9" s="992">
        <v>3.5</v>
      </c>
      <c r="R9" s="577">
        <v>5</v>
      </c>
    </row>
    <row r="10" spans="1:19">
      <c r="A10" s="579"/>
      <c r="B10" s="579"/>
      <c r="C10" s="579"/>
      <c r="D10" s="579"/>
      <c r="E10" s="579"/>
      <c r="F10" s="579"/>
      <c r="G10" s="579"/>
      <c r="H10" s="579"/>
      <c r="I10" s="579"/>
      <c r="J10" s="579"/>
      <c r="K10" s="579"/>
      <c r="L10" s="579"/>
      <c r="M10" s="579"/>
      <c r="N10" s="579"/>
      <c r="O10" s="579"/>
      <c r="P10" s="579"/>
      <c r="Q10" s="579"/>
      <c r="R10" s="579"/>
      <c r="S10" s="579"/>
    </row>
    <row r="11" spans="1:19">
      <c r="A11" s="565" t="s">
        <v>666</v>
      </c>
    </row>
    <row r="12" spans="1:19">
      <c r="A12" s="566" t="s">
        <v>762</v>
      </c>
    </row>
    <row r="13" spans="1:19">
      <c r="A13" s="566" t="s">
        <v>763</v>
      </c>
    </row>
    <row r="14" spans="1:19">
      <c r="A14" s="565" t="s">
        <v>788</v>
      </c>
    </row>
    <row r="15" spans="1:19">
      <c r="A15" s="565" t="s">
        <v>3</v>
      </c>
    </row>
  </sheetData>
  <sheetProtection algorithmName="SHA-512" hashValue="D/xVjBIjbSEaLXkqVK+uGHWZ032zwTJVjyxuq83F6pnsDz00e2yA6Dcu+0XoE0BXGZ71gUVz1IMmX6qdhVya1Q==" saltValue="xjsrf8EsOKm3R/pgWyhXug==" spinCount="100000" sheet="1" objects="1" scenarios="1"/>
  <mergeCells count="2">
    <mergeCell ref="A2:R2"/>
    <mergeCell ref="Q1:R1"/>
  </mergeCells>
  <pageMargins left="0.7" right="0.7" top="0.75" bottom="0.75" header="0.3" footer="0.3"/>
  <pageSetup orientation="landscape" horizontalDpi="1200" verticalDpi="120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O51"/>
  <sheetViews>
    <sheetView topLeftCell="A28" zoomScaleNormal="100" workbookViewId="0">
      <selection activeCell="Q27" sqref="Q27"/>
    </sheetView>
  </sheetViews>
  <sheetFormatPr defaultColWidth="10.42578125" defaultRowHeight="12.75"/>
  <cols>
    <col min="1" max="1" width="10.5703125" style="537" customWidth="1"/>
    <col min="2" max="2" width="10.5703125" style="538" customWidth="1"/>
    <col min="3" max="3" width="10.5703125" style="539" customWidth="1"/>
    <col min="4" max="4" width="10.5703125" style="538" customWidth="1"/>
    <col min="5" max="5" width="10.5703125" style="563" customWidth="1"/>
    <col min="6" max="6" width="10.5703125" style="564" customWidth="1"/>
    <col min="7" max="9" width="10.5703125" style="538" customWidth="1"/>
    <col min="10" max="10" width="10.5703125" style="538" hidden="1" customWidth="1"/>
    <col min="11" max="11" width="10.5703125" style="538" customWidth="1"/>
    <col min="12" max="13" width="10.5703125" style="538" hidden="1" customWidth="1"/>
    <col min="14" max="15" width="10.5703125" style="538" customWidth="1"/>
    <col min="16" max="16384" width="10.42578125" style="538"/>
  </cols>
  <sheetData>
    <row r="1" spans="1:15">
      <c r="E1" s="538"/>
      <c r="F1" s="538"/>
    </row>
    <row r="2" spans="1:15">
      <c r="A2" s="1234" t="s">
        <v>781</v>
      </c>
      <c r="B2" s="1235"/>
      <c r="C2" s="1235"/>
      <c r="D2" s="1235"/>
      <c r="E2" s="1235"/>
      <c r="F2" s="1235"/>
      <c r="G2" s="1235"/>
      <c r="H2" s="1235"/>
      <c r="I2" s="1235"/>
      <c r="J2" s="1235"/>
      <c r="K2" s="1235"/>
      <c r="L2" s="1235"/>
      <c r="M2" s="1235"/>
      <c r="N2" s="1235"/>
      <c r="O2" s="1236"/>
    </row>
    <row r="3" spans="1:15" ht="25.5">
      <c r="A3" s="540" t="s">
        <v>252</v>
      </c>
      <c r="B3" s="541" t="s">
        <v>275</v>
      </c>
      <c r="C3" s="540" t="s">
        <v>93</v>
      </c>
      <c r="D3" s="541">
        <v>1.25</v>
      </c>
      <c r="E3" s="542">
        <v>1.75</v>
      </c>
      <c r="F3" s="541" t="s">
        <v>478</v>
      </c>
      <c r="G3" s="543" t="s">
        <v>482</v>
      </c>
      <c r="H3" s="543" t="s">
        <v>479</v>
      </c>
      <c r="I3" s="543" t="s">
        <v>480</v>
      </c>
      <c r="J3" s="543" t="s">
        <v>782</v>
      </c>
      <c r="K3" s="543" t="s">
        <v>481</v>
      </c>
      <c r="L3" s="543" t="s">
        <v>782</v>
      </c>
      <c r="M3" s="543" t="s">
        <v>483</v>
      </c>
      <c r="N3" s="543" t="s">
        <v>484</v>
      </c>
      <c r="O3" s="544" t="s">
        <v>485</v>
      </c>
    </row>
    <row r="4" spans="1:15">
      <c r="A4" s="545" t="s">
        <v>783</v>
      </c>
      <c r="B4" s="546">
        <f>(1/6)*0.746</f>
        <v>0.12433333333333332</v>
      </c>
      <c r="C4" s="547">
        <v>4.4000000000000004</v>
      </c>
      <c r="D4" s="548">
        <f t="shared" ref="D4:D15" si="0">C4*1.25</f>
        <v>5.5</v>
      </c>
      <c r="E4" s="546">
        <f t="shared" ref="E4:E15" si="1">C4*1.75</f>
        <v>7.7000000000000011</v>
      </c>
      <c r="F4" s="549">
        <v>10</v>
      </c>
      <c r="G4" s="550">
        <v>30</v>
      </c>
      <c r="H4" s="550" t="s">
        <v>487</v>
      </c>
      <c r="I4" s="550">
        <v>14</v>
      </c>
      <c r="J4" s="551">
        <v>9.7000000000000003E-3</v>
      </c>
      <c r="K4" s="551">
        <v>14</v>
      </c>
      <c r="L4" s="551">
        <v>9.7000000000000003E-3</v>
      </c>
      <c r="M4" s="552">
        <f t="shared" ref="M4:M15" si="2">(2*J4)+L4</f>
        <v>2.9100000000000001E-2</v>
      </c>
      <c r="N4" s="553" t="s">
        <v>286</v>
      </c>
      <c r="O4" s="553" t="s">
        <v>286</v>
      </c>
    </row>
    <row r="5" spans="1:15">
      <c r="A5" s="554" t="s">
        <v>289</v>
      </c>
      <c r="B5" s="555">
        <f>(1/4)*0.746</f>
        <v>0.1865</v>
      </c>
      <c r="C5" s="556">
        <v>5.8</v>
      </c>
      <c r="D5" s="557">
        <f t="shared" si="0"/>
        <v>7.25</v>
      </c>
      <c r="E5" s="555">
        <f t="shared" si="1"/>
        <v>10.15</v>
      </c>
      <c r="F5" s="558">
        <v>15</v>
      </c>
      <c r="G5" s="559">
        <v>30</v>
      </c>
      <c r="H5" s="559" t="s">
        <v>487</v>
      </c>
      <c r="I5" s="560">
        <v>14</v>
      </c>
      <c r="J5" s="560">
        <v>9.7000000000000003E-3</v>
      </c>
      <c r="K5" s="560">
        <v>14</v>
      </c>
      <c r="L5" s="560">
        <v>9.7000000000000003E-3</v>
      </c>
      <c r="M5" s="561">
        <f t="shared" si="2"/>
        <v>2.9100000000000001E-2</v>
      </c>
      <c r="N5" s="562" t="s">
        <v>286</v>
      </c>
      <c r="O5" s="562" t="s">
        <v>286</v>
      </c>
    </row>
    <row r="6" spans="1:15">
      <c r="A6" s="545" t="s">
        <v>784</v>
      </c>
      <c r="B6" s="546">
        <f>(1/3)*0.746</f>
        <v>0.24866666666666665</v>
      </c>
      <c r="C6" s="547">
        <v>7.2</v>
      </c>
      <c r="D6" s="548">
        <f t="shared" si="0"/>
        <v>9</v>
      </c>
      <c r="E6" s="546">
        <f t="shared" si="1"/>
        <v>12.6</v>
      </c>
      <c r="F6" s="549">
        <v>15</v>
      </c>
      <c r="G6" s="550">
        <v>30</v>
      </c>
      <c r="H6" s="550" t="s">
        <v>487</v>
      </c>
      <c r="I6" s="550">
        <v>14</v>
      </c>
      <c r="J6" s="551">
        <v>9.7000000000000003E-3</v>
      </c>
      <c r="K6" s="551">
        <v>14</v>
      </c>
      <c r="L6" s="551">
        <v>9.7000000000000003E-3</v>
      </c>
      <c r="M6" s="552">
        <f t="shared" si="2"/>
        <v>2.9100000000000001E-2</v>
      </c>
      <c r="N6" s="553" t="s">
        <v>286</v>
      </c>
      <c r="O6" s="553" t="s">
        <v>286</v>
      </c>
    </row>
    <row r="7" spans="1:15">
      <c r="A7" s="554" t="s">
        <v>486</v>
      </c>
      <c r="B7" s="555">
        <f>(1/2)*0.746</f>
        <v>0.373</v>
      </c>
      <c r="C7" s="556">
        <v>9.8000000000000007</v>
      </c>
      <c r="D7" s="557">
        <f t="shared" si="0"/>
        <v>12.25</v>
      </c>
      <c r="E7" s="555">
        <f t="shared" si="1"/>
        <v>17.150000000000002</v>
      </c>
      <c r="F7" s="558">
        <v>20</v>
      </c>
      <c r="G7" s="559">
        <v>30</v>
      </c>
      <c r="H7" s="559" t="s">
        <v>785</v>
      </c>
      <c r="I7" s="560">
        <v>14</v>
      </c>
      <c r="J7" s="560">
        <v>9.7000000000000003E-3</v>
      </c>
      <c r="K7" s="560">
        <v>12</v>
      </c>
      <c r="L7" s="560">
        <v>1.3299999999999999E-2</v>
      </c>
      <c r="M7" s="561">
        <f t="shared" si="2"/>
        <v>3.27E-2</v>
      </c>
      <c r="N7" s="562" t="s">
        <v>286</v>
      </c>
      <c r="O7" s="562" t="s">
        <v>286</v>
      </c>
    </row>
    <row r="8" spans="1:15">
      <c r="A8" s="545" t="s">
        <v>488</v>
      </c>
      <c r="B8" s="546">
        <f>(3/4)*0.746</f>
        <v>0.5595</v>
      </c>
      <c r="C8" s="547">
        <v>13.8</v>
      </c>
      <c r="D8" s="548">
        <f t="shared" si="0"/>
        <v>17.25</v>
      </c>
      <c r="E8" s="546">
        <f t="shared" si="1"/>
        <v>24.150000000000002</v>
      </c>
      <c r="F8" s="549">
        <v>25</v>
      </c>
      <c r="G8" s="550">
        <v>30</v>
      </c>
      <c r="H8" s="550" t="s">
        <v>489</v>
      </c>
      <c r="I8" s="550">
        <v>12</v>
      </c>
      <c r="J8" s="551">
        <v>1.3299999999999999E-2</v>
      </c>
      <c r="K8" s="551">
        <v>12</v>
      </c>
      <c r="L8" s="551">
        <v>1.3299999999999999E-2</v>
      </c>
      <c r="M8" s="552">
        <f t="shared" si="2"/>
        <v>3.9899999999999998E-2</v>
      </c>
      <c r="N8" s="553" t="s">
        <v>286</v>
      </c>
      <c r="O8" s="553" t="s">
        <v>286</v>
      </c>
    </row>
    <row r="9" spans="1:15">
      <c r="A9" s="554">
        <v>1</v>
      </c>
      <c r="B9" s="555">
        <f t="shared" ref="B9:B15" si="3">A9*0.746</f>
        <v>0.746</v>
      </c>
      <c r="C9" s="556">
        <v>16</v>
      </c>
      <c r="D9" s="557">
        <f t="shared" si="0"/>
        <v>20</v>
      </c>
      <c r="E9" s="555">
        <f t="shared" si="1"/>
        <v>28</v>
      </c>
      <c r="F9" s="558">
        <v>30</v>
      </c>
      <c r="G9" s="559">
        <v>30</v>
      </c>
      <c r="H9" s="559" t="s">
        <v>489</v>
      </c>
      <c r="I9" s="560">
        <v>12</v>
      </c>
      <c r="J9" s="560">
        <v>1.3299999999999999E-2</v>
      </c>
      <c r="K9" s="560">
        <v>12</v>
      </c>
      <c r="L9" s="560">
        <v>1.3299999999999999E-2</v>
      </c>
      <c r="M9" s="561">
        <f t="shared" si="2"/>
        <v>3.9899999999999998E-2</v>
      </c>
      <c r="N9" s="562" t="s">
        <v>286</v>
      </c>
      <c r="O9" s="562" t="s">
        <v>286</v>
      </c>
    </row>
    <row r="10" spans="1:15">
      <c r="A10" s="545" t="s">
        <v>474</v>
      </c>
      <c r="B10" s="546">
        <f>1.5*0.746</f>
        <v>1.119</v>
      </c>
      <c r="C10" s="547">
        <v>20</v>
      </c>
      <c r="D10" s="548">
        <f t="shared" si="0"/>
        <v>25</v>
      </c>
      <c r="E10" s="546">
        <f t="shared" si="1"/>
        <v>35</v>
      </c>
      <c r="F10" s="549">
        <v>35</v>
      </c>
      <c r="G10" s="550">
        <v>60</v>
      </c>
      <c r="H10" s="550">
        <v>1</v>
      </c>
      <c r="I10" s="550">
        <v>10</v>
      </c>
      <c r="J10" s="551">
        <v>2.1100000000000001E-2</v>
      </c>
      <c r="K10" s="551">
        <v>10</v>
      </c>
      <c r="L10" s="551">
        <v>2.1100000000000001E-2</v>
      </c>
      <c r="M10" s="552">
        <f t="shared" si="2"/>
        <v>6.3299999999999995E-2</v>
      </c>
      <c r="N10" s="553" t="s">
        <v>286</v>
      </c>
      <c r="O10" s="553" t="s">
        <v>286</v>
      </c>
    </row>
    <row r="11" spans="1:15">
      <c r="A11" s="554">
        <v>2</v>
      </c>
      <c r="B11" s="555">
        <f t="shared" si="3"/>
        <v>1.492</v>
      </c>
      <c r="C11" s="556">
        <v>24</v>
      </c>
      <c r="D11" s="557">
        <f t="shared" si="0"/>
        <v>30</v>
      </c>
      <c r="E11" s="555">
        <f t="shared" si="1"/>
        <v>42</v>
      </c>
      <c r="F11" s="558">
        <v>45</v>
      </c>
      <c r="G11" s="559">
        <v>60</v>
      </c>
      <c r="H11" s="559">
        <v>1</v>
      </c>
      <c r="I11" s="560">
        <v>10</v>
      </c>
      <c r="J11" s="560">
        <v>2.1100000000000001E-2</v>
      </c>
      <c r="K11" s="560">
        <v>10</v>
      </c>
      <c r="L11" s="560">
        <v>2.1100000000000001E-2</v>
      </c>
      <c r="M11" s="561">
        <f t="shared" si="2"/>
        <v>6.3299999999999995E-2</v>
      </c>
      <c r="N11" s="562" t="s">
        <v>286</v>
      </c>
      <c r="O11" s="562" t="s">
        <v>286</v>
      </c>
    </row>
    <row r="12" spans="1:15">
      <c r="A12" s="545">
        <v>3</v>
      </c>
      <c r="B12" s="546">
        <f t="shared" si="3"/>
        <v>2.238</v>
      </c>
      <c r="C12" s="547">
        <v>34</v>
      </c>
      <c r="D12" s="548">
        <f t="shared" si="0"/>
        <v>42.5</v>
      </c>
      <c r="E12" s="546">
        <f t="shared" si="1"/>
        <v>59.5</v>
      </c>
      <c r="F12" s="549">
        <v>60</v>
      </c>
      <c r="G12" s="550">
        <v>60</v>
      </c>
      <c r="H12" s="550">
        <v>2</v>
      </c>
      <c r="I12" s="550">
        <v>6</v>
      </c>
      <c r="J12" s="551">
        <v>5.0700000000000002E-2</v>
      </c>
      <c r="K12" s="551">
        <v>10</v>
      </c>
      <c r="L12" s="551">
        <v>2.1100000000000001E-2</v>
      </c>
      <c r="M12" s="552">
        <f t="shared" si="2"/>
        <v>0.1225</v>
      </c>
      <c r="N12" s="553" t="s">
        <v>286</v>
      </c>
      <c r="O12" s="553" t="s">
        <v>288</v>
      </c>
    </row>
    <row r="13" spans="1:15">
      <c r="A13" s="554">
        <v>5</v>
      </c>
      <c r="B13" s="555">
        <f t="shared" si="3"/>
        <v>3.73</v>
      </c>
      <c r="C13" s="556">
        <v>56</v>
      </c>
      <c r="D13" s="557">
        <f t="shared" si="0"/>
        <v>70</v>
      </c>
      <c r="E13" s="555">
        <f t="shared" si="1"/>
        <v>98</v>
      </c>
      <c r="F13" s="558">
        <v>100</v>
      </c>
      <c r="G13" s="559">
        <v>100</v>
      </c>
      <c r="H13" s="559">
        <v>3</v>
      </c>
      <c r="I13" s="560">
        <v>4</v>
      </c>
      <c r="J13" s="560">
        <v>8.2400000000000001E-2</v>
      </c>
      <c r="K13" s="560">
        <v>8</v>
      </c>
      <c r="L13" s="560">
        <v>3.6600000000000001E-2</v>
      </c>
      <c r="M13" s="561">
        <f t="shared" si="2"/>
        <v>0.2014</v>
      </c>
      <c r="N13" s="562" t="s">
        <v>288</v>
      </c>
      <c r="O13" s="562" t="s">
        <v>52</v>
      </c>
    </row>
    <row r="14" spans="1:15">
      <c r="A14" s="545" t="s">
        <v>476</v>
      </c>
      <c r="B14" s="546">
        <f>7.5*0.746</f>
        <v>5.5949999999999998</v>
      </c>
      <c r="C14" s="547">
        <v>80</v>
      </c>
      <c r="D14" s="548">
        <f t="shared" si="0"/>
        <v>100</v>
      </c>
      <c r="E14" s="546">
        <f t="shared" si="1"/>
        <v>140</v>
      </c>
      <c r="F14" s="549">
        <v>150</v>
      </c>
      <c r="G14" s="550">
        <v>200</v>
      </c>
      <c r="H14" s="550">
        <v>3</v>
      </c>
      <c r="I14" s="550">
        <v>1</v>
      </c>
      <c r="J14" s="551">
        <v>0.15620000000000001</v>
      </c>
      <c r="K14" s="551">
        <v>6</v>
      </c>
      <c r="L14" s="551">
        <v>5.0700000000000002E-2</v>
      </c>
      <c r="M14" s="552">
        <f t="shared" si="2"/>
        <v>0.36310000000000003</v>
      </c>
      <c r="N14" s="553" t="s">
        <v>585</v>
      </c>
      <c r="O14" s="553" t="s">
        <v>585</v>
      </c>
    </row>
    <row r="15" spans="1:15">
      <c r="A15" s="554">
        <v>10</v>
      </c>
      <c r="B15" s="555">
        <f t="shared" si="3"/>
        <v>7.46</v>
      </c>
      <c r="C15" s="556">
        <v>100</v>
      </c>
      <c r="D15" s="557">
        <f t="shared" si="0"/>
        <v>125</v>
      </c>
      <c r="E15" s="555">
        <f t="shared" si="1"/>
        <v>175</v>
      </c>
      <c r="F15" s="558">
        <v>175</v>
      </c>
      <c r="G15" s="559">
        <v>200</v>
      </c>
      <c r="H15" s="559">
        <v>4</v>
      </c>
      <c r="I15" s="560" t="s">
        <v>18</v>
      </c>
      <c r="J15" s="560">
        <v>0.1855</v>
      </c>
      <c r="K15" s="560">
        <v>6</v>
      </c>
      <c r="L15" s="560">
        <v>5.0700000000000002E-2</v>
      </c>
      <c r="M15" s="561">
        <f t="shared" si="2"/>
        <v>0.42170000000000002</v>
      </c>
      <c r="N15" s="562" t="s">
        <v>585</v>
      </c>
      <c r="O15" s="562" t="s">
        <v>586</v>
      </c>
    </row>
    <row r="17" spans="1:15">
      <c r="A17" s="1234" t="s">
        <v>786</v>
      </c>
      <c r="B17" s="1235"/>
      <c r="C17" s="1235"/>
      <c r="D17" s="1235"/>
      <c r="E17" s="1235"/>
      <c r="F17" s="1235"/>
      <c r="G17" s="1235"/>
      <c r="H17" s="1235"/>
      <c r="I17" s="1235"/>
      <c r="J17" s="1235"/>
      <c r="K17" s="1235"/>
      <c r="L17" s="1235"/>
      <c r="M17" s="1235"/>
      <c r="N17" s="1235"/>
      <c r="O17" s="1236"/>
    </row>
    <row r="18" spans="1:15" ht="25.5">
      <c r="A18" s="540" t="s">
        <v>252</v>
      </c>
      <c r="B18" s="541" t="s">
        <v>275</v>
      </c>
      <c r="C18" s="540" t="s">
        <v>93</v>
      </c>
      <c r="D18" s="541">
        <v>1.25</v>
      </c>
      <c r="E18" s="542">
        <v>1.75</v>
      </c>
      <c r="F18" s="541" t="s">
        <v>478</v>
      </c>
      <c r="G18" s="543" t="s">
        <v>482</v>
      </c>
      <c r="H18" s="543" t="s">
        <v>479</v>
      </c>
      <c r="I18" s="543" t="s">
        <v>480</v>
      </c>
      <c r="J18" s="543" t="s">
        <v>782</v>
      </c>
      <c r="K18" s="543" t="s">
        <v>481</v>
      </c>
      <c r="L18" s="543" t="s">
        <v>782</v>
      </c>
      <c r="M18" s="543" t="s">
        <v>483</v>
      </c>
      <c r="N18" s="543" t="s">
        <v>484</v>
      </c>
      <c r="O18" s="544" t="s">
        <v>485</v>
      </c>
    </row>
    <row r="19" spans="1:15">
      <c r="A19" s="545" t="s">
        <v>783</v>
      </c>
      <c r="B19" s="546">
        <f>(1/6)*0.746</f>
        <v>0.12433333333333332</v>
      </c>
      <c r="C19" s="547">
        <v>2.4</v>
      </c>
      <c r="D19" s="548">
        <f t="shared" ref="D19:D30" si="4">C19*1.25</f>
        <v>3</v>
      </c>
      <c r="E19" s="546">
        <f t="shared" ref="E19:E30" si="5">C19*1.75</f>
        <v>4.2</v>
      </c>
      <c r="F19" s="549">
        <v>6</v>
      </c>
      <c r="G19" s="550">
        <v>30</v>
      </c>
      <c r="H19" s="550" t="s">
        <v>487</v>
      </c>
      <c r="I19" s="550">
        <v>14</v>
      </c>
      <c r="J19" s="551">
        <v>9.7000000000000003E-3</v>
      </c>
      <c r="K19" s="551">
        <v>14</v>
      </c>
      <c r="L19" s="551">
        <v>9.7000000000000003E-3</v>
      </c>
      <c r="M19" s="552">
        <f t="shared" ref="M19:M30" si="6">(2*J19)+L19</f>
        <v>2.9100000000000001E-2</v>
      </c>
      <c r="N19" s="553" t="s">
        <v>286</v>
      </c>
      <c r="O19" s="553" t="s">
        <v>286</v>
      </c>
    </row>
    <row r="20" spans="1:15">
      <c r="A20" s="554" t="s">
        <v>289</v>
      </c>
      <c r="B20" s="555">
        <f>(1/4)*0.746</f>
        <v>0.1865</v>
      </c>
      <c r="C20" s="556">
        <v>3.2</v>
      </c>
      <c r="D20" s="557">
        <f t="shared" si="4"/>
        <v>4</v>
      </c>
      <c r="E20" s="555">
        <f t="shared" si="5"/>
        <v>5.6000000000000005</v>
      </c>
      <c r="F20" s="558">
        <v>6</v>
      </c>
      <c r="G20" s="559">
        <v>30</v>
      </c>
      <c r="H20" s="559" t="s">
        <v>487</v>
      </c>
      <c r="I20" s="560">
        <v>14</v>
      </c>
      <c r="J20" s="560">
        <v>9.7000000000000003E-3</v>
      </c>
      <c r="K20" s="560">
        <v>14</v>
      </c>
      <c r="L20" s="560">
        <v>9.7000000000000003E-3</v>
      </c>
      <c r="M20" s="561">
        <f t="shared" si="6"/>
        <v>2.9100000000000001E-2</v>
      </c>
      <c r="N20" s="562" t="s">
        <v>286</v>
      </c>
      <c r="O20" s="562" t="s">
        <v>286</v>
      </c>
    </row>
    <row r="21" spans="1:15">
      <c r="A21" s="545" t="s">
        <v>784</v>
      </c>
      <c r="B21" s="546">
        <f>(1/3)*0.746</f>
        <v>0.24866666666666665</v>
      </c>
      <c r="C21" s="547">
        <v>4</v>
      </c>
      <c r="D21" s="548">
        <f t="shared" si="4"/>
        <v>5</v>
      </c>
      <c r="E21" s="546">
        <f t="shared" si="5"/>
        <v>7</v>
      </c>
      <c r="F21" s="549">
        <v>10</v>
      </c>
      <c r="G21" s="550">
        <v>30</v>
      </c>
      <c r="H21" s="550" t="s">
        <v>487</v>
      </c>
      <c r="I21" s="550">
        <v>14</v>
      </c>
      <c r="J21" s="551">
        <v>9.7000000000000003E-3</v>
      </c>
      <c r="K21" s="551">
        <v>14</v>
      </c>
      <c r="L21" s="551">
        <v>9.7000000000000003E-3</v>
      </c>
      <c r="M21" s="552">
        <f t="shared" si="6"/>
        <v>2.9100000000000001E-2</v>
      </c>
      <c r="N21" s="553" t="s">
        <v>286</v>
      </c>
      <c r="O21" s="553" t="s">
        <v>286</v>
      </c>
    </row>
    <row r="22" spans="1:15">
      <c r="A22" s="554" t="s">
        <v>486</v>
      </c>
      <c r="B22" s="555">
        <f>(1/2)*0.746</f>
        <v>0.373</v>
      </c>
      <c r="C22" s="556">
        <v>5.4</v>
      </c>
      <c r="D22" s="557">
        <f t="shared" si="4"/>
        <v>6.75</v>
      </c>
      <c r="E22" s="555">
        <f t="shared" si="5"/>
        <v>9.4500000000000011</v>
      </c>
      <c r="F22" s="558">
        <v>10</v>
      </c>
      <c r="G22" s="559">
        <v>30</v>
      </c>
      <c r="H22" s="559" t="s">
        <v>487</v>
      </c>
      <c r="I22" s="560">
        <v>14</v>
      </c>
      <c r="J22" s="560">
        <v>9.7000000000000003E-3</v>
      </c>
      <c r="K22" s="560">
        <v>14</v>
      </c>
      <c r="L22" s="560">
        <v>9.7000000000000003E-3</v>
      </c>
      <c r="M22" s="561">
        <f t="shared" si="6"/>
        <v>2.9100000000000001E-2</v>
      </c>
      <c r="N22" s="562" t="s">
        <v>286</v>
      </c>
      <c r="O22" s="562" t="s">
        <v>286</v>
      </c>
    </row>
    <row r="23" spans="1:15">
      <c r="A23" s="545" t="s">
        <v>488</v>
      </c>
      <c r="B23" s="546">
        <f>(3/4)*0.746</f>
        <v>0.5595</v>
      </c>
      <c r="C23" s="547">
        <v>7.6</v>
      </c>
      <c r="D23" s="548">
        <f t="shared" si="4"/>
        <v>9.5</v>
      </c>
      <c r="E23" s="546">
        <f t="shared" si="5"/>
        <v>13.299999999999999</v>
      </c>
      <c r="F23" s="549">
        <v>15</v>
      </c>
      <c r="G23" s="550">
        <v>30</v>
      </c>
      <c r="H23" s="550" t="s">
        <v>487</v>
      </c>
      <c r="I23" s="550">
        <v>14</v>
      </c>
      <c r="J23" s="551">
        <v>9.7000000000000003E-3</v>
      </c>
      <c r="K23" s="551">
        <v>14</v>
      </c>
      <c r="L23" s="551">
        <v>9.7000000000000003E-3</v>
      </c>
      <c r="M23" s="552">
        <f t="shared" si="6"/>
        <v>2.9100000000000001E-2</v>
      </c>
      <c r="N23" s="553" t="s">
        <v>286</v>
      </c>
      <c r="O23" s="553" t="s">
        <v>286</v>
      </c>
    </row>
    <row r="24" spans="1:15">
      <c r="A24" s="554">
        <v>1</v>
      </c>
      <c r="B24" s="555">
        <f t="shared" ref="B24:B30" si="7">A24*0.746</f>
        <v>0.746</v>
      </c>
      <c r="C24" s="556">
        <v>8.8000000000000007</v>
      </c>
      <c r="D24" s="557">
        <f t="shared" si="4"/>
        <v>11</v>
      </c>
      <c r="E24" s="555">
        <f t="shared" si="5"/>
        <v>15.400000000000002</v>
      </c>
      <c r="F24" s="558">
        <v>20</v>
      </c>
      <c r="G24" s="559">
        <v>30</v>
      </c>
      <c r="H24" s="559" t="s">
        <v>487</v>
      </c>
      <c r="I24" s="560">
        <v>14</v>
      </c>
      <c r="J24" s="560">
        <v>9.7000000000000003E-3</v>
      </c>
      <c r="K24" s="560">
        <v>14</v>
      </c>
      <c r="L24" s="560">
        <v>9.7000000000000003E-3</v>
      </c>
      <c r="M24" s="561">
        <f t="shared" si="6"/>
        <v>2.9100000000000001E-2</v>
      </c>
      <c r="N24" s="562" t="s">
        <v>286</v>
      </c>
      <c r="O24" s="562" t="s">
        <v>286</v>
      </c>
    </row>
    <row r="25" spans="1:15">
      <c r="A25" s="545" t="s">
        <v>474</v>
      </c>
      <c r="B25" s="546">
        <f>1.5*0.746</f>
        <v>1.119</v>
      </c>
      <c r="C25" s="547">
        <v>11</v>
      </c>
      <c r="D25" s="548">
        <f t="shared" si="4"/>
        <v>13.75</v>
      </c>
      <c r="E25" s="546">
        <f t="shared" si="5"/>
        <v>19.25</v>
      </c>
      <c r="F25" s="549">
        <v>20</v>
      </c>
      <c r="G25" s="550">
        <v>30</v>
      </c>
      <c r="H25" s="550" t="s">
        <v>489</v>
      </c>
      <c r="I25" s="550">
        <v>14</v>
      </c>
      <c r="J25" s="551">
        <v>9.7000000000000003E-3</v>
      </c>
      <c r="K25" s="551">
        <v>14</v>
      </c>
      <c r="L25" s="551">
        <v>9.7000000000000003E-3</v>
      </c>
      <c r="M25" s="552">
        <f t="shared" si="6"/>
        <v>2.9100000000000001E-2</v>
      </c>
      <c r="N25" s="553" t="s">
        <v>286</v>
      </c>
      <c r="O25" s="553" t="s">
        <v>286</v>
      </c>
    </row>
    <row r="26" spans="1:15">
      <c r="A26" s="554">
        <v>2</v>
      </c>
      <c r="B26" s="555">
        <f t="shared" si="7"/>
        <v>1.492</v>
      </c>
      <c r="C26" s="556">
        <v>13.2</v>
      </c>
      <c r="D26" s="557">
        <f t="shared" si="4"/>
        <v>16.5</v>
      </c>
      <c r="E26" s="555">
        <f t="shared" si="5"/>
        <v>23.099999999999998</v>
      </c>
      <c r="F26" s="558">
        <v>25</v>
      </c>
      <c r="G26" s="559">
        <v>30</v>
      </c>
      <c r="H26" s="559" t="s">
        <v>489</v>
      </c>
      <c r="I26" s="560">
        <v>12</v>
      </c>
      <c r="J26" s="560">
        <v>1.3299999999999999E-2</v>
      </c>
      <c r="K26" s="560">
        <v>12</v>
      </c>
      <c r="L26" s="560">
        <v>1.3299999999999999E-2</v>
      </c>
      <c r="M26" s="561">
        <f t="shared" si="6"/>
        <v>3.9899999999999998E-2</v>
      </c>
      <c r="N26" s="562" t="s">
        <v>286</v>
      </c>
      <c r="O26" s="562" t="s">
        <v>286</v>
      </c>
    </row>
    <row r="27" spans="1:15">
      <c r="A27" s="545">
        <v>3</v>
      </c>
      <c r="B27" s="546">
        <f t="shared" si="7"/>
        <v>2.238</v>
      </c>
      <c r="C27" s="547">
        <v>18.7</v>
      </c>
      <c r="D27" s="548">
        <f t="shared" si="4"/>
        <v>23.375</v>
      </c>
      <c r="E27" s="546">
        <f t="shared" si="5"/>
        <v>32.725000000000001</v>
      </c>
      <c r="F27" s="549">
        <v>35</v>
      </c>
      <c r="G27" s="550">
        <v>60</v>
      </c>
      <c r="H27" s="550">
        <v>1</v>
      </c>
      <c r="I27" s="550">
        <v>10</v>
      </c>
      <c r="J27" s="551">
        <v>2.1100000000000001E-2</v>
      </c>
      <c r="K27" s="551">
        <v>10</v>
      </c>
      <c r="L27" s="551">
        <v>2.1100000000000001E-2</v>
      </c>
      <c r="M27" s="552">
        <f t="shared" si="6"/>
        <v>6.3299999999999995E-2</v>
      </c>
      <c r="N27" s="553" t="s">
        <v>286</v>
      </c>
      <c r="O27" s="553" t="s">
        <v>286</v>
      </c>
    </row>
    <row r="28" spans="1:15">
      <c r="A28" s="554">
        <v>5</v>
      </c>
      <c r="B28" s="555">
        <f t="shared" si="7"/>
        <v>3.73</v>
      </c>
      <c r="C28" s="556">
        <v>30.8</v>
      </c>
      <c r="D28" s="557">
        <f t="shared" si="4"/>
        <v>38.5</v>
      </c>
      <c r="E28" s="555">
        <f t="shared" si="5"/>
        <v>53.9</v>
      </c>
      <c r="F28" s="558">
        <v>60</v>
      </c>
      <c r="G28" s="559">
        <v>60</v>
      </c>
      <c r="H28" s="559">
        <v>2</v>
      </c>
      <c r="I28" s="560">
        <v>8</v>
      </c>
      <c r="J28" s="560">
        <v>3.6600000000000001E-2</v>
      </c>
      <c r="K28" s="560">
        <v>10</v>
      </c>
      <c r="L28" s="560">
        <v>2.1100000000000001E-2</v>
      </c>
      <c r="M28" s="561">
        <f t="shared" si="6"/>
        <v>9.4299999999999995E-2</v>
      </c>
      <c r="N28" s="562" t="s">
        <v>286</v>
      </c>
      <c r="O28" s="562" t="s">
        <v>288</v>
      </c>
    </row>
    <row r="29" spans="1:15">
      <c r="A29" s="545" t="s">
        <v>476</v>
      </c>
      <c r="B29" s="546">
        <f>7.5*0.746</f>
        <v>5.5949999999999998</v>
      </c>
      <c r="C29" s="547">
        <v>44</v>
      </c>
      <c r="D29" s="548">
        <f t="shared" si="4"/>
        <v>55</v>
      </c>
      <c r="E29" s="546">
        <f t="shared" si="5"/>
        <v>77</v>
      </c>
      <c r="F29" s="549">
        <v>80</v>
      </c>
      <c r="G29" s="550">
        <v>100</v>
      </c>
      <c r="H29" s="550">
        <v>2</v>
      </c>
      <c r="I29" s="550">
        <v>6</v>
      </c>
      <c r="J29" s="551">
        <v>5.0700000000000002E-2</v>
      </c>
      <c r="K29" s="551">
        <v>8</v>
      </c>
      <c r="L29" s="551">
        <v>3.6600000000000001E-2</v>
      </c>
      <c r="M29" s="552">
        <f t="shared" si="6"/>
        <v>0.13800000000000001</v>
      </c>
      <c r="N29" s="553" t="s">
        <v>288</v>
      </c>
      <c r="O29" s="553" t="s">
        <v>52</v>
      </c>
    </row>
    <row r="30" spans="1:15">
      <c r="A30" s="554">
        <v>10</v>
      </c>
      <c r="B30" s="555">
        <f t="shared" si="7"/>
        <v>7.46</v>
      </c>
      <c r="C30" s="556">
        <v>55</v>
      </c>
      <c r="D30" s="557">
        <f t="shared" si="4"/>
        <v>68.75</v>
      </c>
      <c r="E30" s="555">
        <f t="shared" si="5"/>
        <v>96.25</v>
      </c>
      <c r="F30" s="558">
        <v>100</v>
      </c>
      <c r="G30" s="559">
        <v>100</v>
      </c>
      <c r="H30" s="559">
        <v>3</v>
      </c>
      <c r="I30" s="560">
        <v>4</v>
      </c>
      <c r="J30" s="560">
        <v>8.2400000000000001E-2</v>
      </c>
      <c r="K30" s="560">
        <v>8</v>
      </c>
      <c r="L30" s="560">
        <v>3.6600000000000001E-2</v>
      </c>
      <c r="M30" s="561">
        <f t="shared" si="6"/>
        <v>0.2014</v>
      </c>
      <c r="N30" s="562" t="s">
        <v>288</v>
      </c>
      <c r="O30" s="562" t="s">
        <v>52</v>
      </c>
    </row>
    <row r="32" spans="1:15">
      <c r="A32" s="1234" t="s">
        <v>787</v>
      </c>
      <c r="B32" s="1235"/>
      <c r="C32" s="1235"/>
      <c r="D32" s="1235"/>
      <c r="E32" s="1235"/>
      <c r="F32" s="1235"/>
      <c r="G32" s="1235"/>
      <c r="H32" s="1235"/>
      <c r="I32" s="1235"/>
      <c r="J32" s="1235"/>
      <c r="K32" s="1235"/>
      <c r="L32" s="1235"/>
      <c r="M32" s="1235"/>
      <c r="N32" s="1235"/>
      <c r="O32" s="1236"/>
    </row>
    <row r="33" spans="1:15" ht="25.5">
      <c r="A33" s="540" t="s">
        <v>252</v>
      </c>
      <c r="B33" s="541" t="s">
        <v>275</v>
      </c>
      <c r="C33" s="540" t="s">
        <v>93</v>
      </c>
      <c r="D33" s="541">
        <v>1.25</v>
      </c>
      <c r="E33" s="542">
        <v>1.75</v>
      </c>
      <c r="F33" s="541" t="s">
        <v>478</v>
      </c>
      <c r="G33" s="543" t="s">
        <v>482</v>
      </c>
      <c r="H33" s="543" t="s">
        <v>479</v>
      </c>
      <c r="I33" s="543" t="s">
        <v>480</v>
      </c>
      <c r="J33" s="543" t="s">
        <v>782</v>
      </c>
      <c r="K33" s="543" t="s">
        <v>481</v>
      </c>
      <c r="L33" s="543" t="s">
        <v>782</v>
      </c>
      <c r="M33" s="543" t="s">
        <v>483</v>
      </c>
      <c r="N33" s="543" t="s">
        <v>484</v>
      </c>
      <c r="O33" s="544" t="s">
        <v>485</v>
      </c>
    </row>
    <row r="34" spans="1:15">
      <c r="A34" s="545" t="s">
        <v>783</v>
      </c>
      <c r="B34" s="546">
        <f>(1/6)*0.746</f>
        <v>0.12433333333333332</v>
      </c>
      <c r="C34" s="547">
        <v>2.2000000000000002</v>
      </c>
      <c r="D34" s="548">
        <f t="shared" ref="D34:D45" si="8">C34*1.25</f>
        <v>2.75</v>
      </c>
      <c r="E34" s="546">
        <f t="shared" ref="E34:E45" si="9">C34*1.75</f>
        <v>3.8500000000000005</v>
      </c>
      <c r="F34" s="549">
        <v>6</v>
      </c>
      <c r="G34" s="550">
        <v>30</v>
      </c>
      <c r="H34" s="550" t="s">
        <v>487</v>
      </c>
      <c r="I34" s="550">
        <v>14</v>
      </c>
      <c r="J34" s="550">
        <v>9.7000000000000003E-3</v>
      </c>
      <c r="K34" s="550">
        <v>14</v>
      </c>
      <c r="L34" s="550">
        <v>9.7000000000000003E-3</v>
      </c>
      <c r="M34" s="552">
        <f>(2*J34)+L34</f>
        <v>2.9100000000000001E-2</v>
      </c>
      <c r="N34" s="553" t="s">
        <v>286</v>
      </c>
      <c r="O34" s="553" t="s">
        <v>286</v>
      </c>
    </row>
    <row r="35" spans="1:15">
      <c r="A35" s="554" t="s">
        <v>289</v>
      </c>
      <c r="B35" s="555">
        <f>(1/4)*0.746</f>
        <v>0.1865</v>
      </c>
      <c r="C35" s="556">
        <v>2.9</v>
      </c>
      <c r="D35" s="557">
        <f t="shared" si="8"/>
        <v>3.625</v>
      </c>
      <c r="E35" s="555">
        <f t="shared" si="9"/>
        <v>5.0750000000000002</v>
      </c>
      <c r="F35" s="558">
        <v>6</v>
      </c>
      <c r="G35" s="559">
        <v>30</v>
      </c>
      <c r="H35" s="559" t="s">
        <v>487</v>
      </c>
      <c r="I35" s="560">
        <v>14</v>
      </c>
      <c r="J35" s="560">
        <v>9.7000000000000003E-3</v>
      </c>
      <c r="K35" s="559">
        <v>14</v>
      </c>
      <c r="L35" s="559">
        <v>9.7000000000000003E-3</v>
      </c>
      <c r="M35" s="561">
        <f t="shared" ref="M35:M45" si="10">(2*J35)+L35</f>
        <v>2.9100000000000001E-2</v>
      </c>
      <c r="N35" s="562" t="s">
        <v>286</v>
      </c>
      <c r="O35" s="562" t="s">
        <v>286</v>
      </c>
    </row>
    <row r="36" spans="1:15">
      <c r="A36" s="545" t="s">
        <v>784</v>
      </c>
      <c r="B36" s="546">
        <f>(1/3)*0.746</f>
        <v>0.24866666666666665</v>
      </c>
      <c r="C36" s="547">
        <v>3.6</v>
      </c>
      <c r="D36" s="548">
        <f t="shared" si="8"/>
        <v>4.5</v>
      </c>
      <c r="E36" s="546">
        <f t="shared" si="9"/>
        <v>6.3</v>
      </c>
      <c r="F36" s="549">
        <v>10</v>
      </c>
      <c r="G36" s="550">
        <v>30</v>
      </c>
      <c r="H36" s="550" t="s">
        <v>487</v>
      </c>
      <c r="I36" s="550">
        <v>14</v>
      </c>
      <c r="J36" s="550">
        <v>9.7000000000000003E-3</v>
      </c>
      <c r="K36" s="550">
        <v>14</v>
      </c>
      <c r="L36" s="550">
        <v>9.7000000000000003E-3</v>
      </c>
      <c r="M36" s="552">
        <f t="shared" si="10"/>
        <v>2.9100000000000001E-2</v>
      </c>
      <c r="N36" s="553" t="s">
        <v>286</v>
      </c>
      <c r="O36" s="553" t="s">
        <v>286</v>
      </c>
    </row>
    <row r="37" spans="1:15">
      <c r="A37" s="554" t="s">
        <v>486</v>
      </c>
      <c r="B37" s="555">
        <f>(1/2)*0.746</f>
        <v>0.373</v>
      </c>
      <c r="C37" s="556">
        <v>4.9000000000000004</v>
      </c>
      <c r="D37" s="557">
        <f t="shared" si="8"/>
        <v>6.125</v>
      </c>
      <c r="E37" s="555">
        <f t="shared" si="9"/>
        <v>8.5750000000000011</v>
      </c>
      <c r="F37" s="558">
        <v>10</v>
      </c>
      <c r="G37" s="559">
        <v>30</v>
      </c>
      <c r="H37" s="559" t="s">
        <v>487</v>
      </c>
      <c r="I37" s="560">
        <v>14</v>
      </c>
      <c r="J37" s="560">
        <v>9.7000000000000003E-3</v>
      </c>
      <c r="K37" s="559">
        <v>14</v>
      </c>
      <c r="L37" s="559">
        <v>9.7000000000000003E-3</v>
      </c>
      <c r="M37" s="561">
        <f t="shared" si="10"/>
        <v>2.9100000000000001E-2</v>
      </c>
      <c r="N37" s="562" t="s">
        <v>286</v>
      </c>
      <c r="O37" s="562" t="s">
        <v>286</v>
      </c>
    </row>
    <row r="38" spans="1:15">
      <c r="A38" s="545" t="s">
        <v>488</v>
      </c>
      <c r="B38" s="546">
        <f>(3/4)*0.746</f>
        <v>0.5595</v>
      </c>
      <c r="C38" s="547">
        <v>6.9</v>
      </c>
      <c r="D38" s="548">
        <f t="shared" si="8"/>
        <v>8.625</v>
      </c>
      <c r="E38" s="546">
        <f t="shared" si="9"/>
        <v>12.075000000000001</v>
      </c>
      <c r="F38" s="549">
        <v>15</v>
      </c>
      <c r="G38" s="550">
        <v>30</v>
      </c>
      <c r="H38" s="550" t="s">
        <v>487</v>
      </c>
      <c r="I38" s="550">
        <v>14</v>
      </c>
      <c r="J38" s="550">
        <v>9.7000000000000003E-3</v>
      </c>
      <c r="K38" s="550">
        <v>14</v>
      </c>
      <c r="L38" s="550">
        <v>9.7000000000000003E-3</v>
      </c>
      <c r="M38" s="552">
        <f t="shared" si="10"/>
        <v>2.9100000000000001E-2</v>
      </c>
      <c r="N38" s="553" t="s">
        <v>286</v>
      </c>
      <c r="O38" s="553" t="s">
        <v>286</v>
      </c>
    </row>
    <row r="39" spans="1:15">
      <c r="A39" s="554">
        <v>1</v>
      </c>
      <c r="B39" s="555">
        <f t="shared" ref="B39:B45" si="11">A39*0.746</f>
        <v>0.746</v>
      </c>
      <c r="C39" s="556">
        <v>8</v>
      </c>
      <c r="D39" s="557">
        <f t="shared" si="8"/>
        <v>10</v>
      </c>
      <c r="E39" s="555">
        <f t="shared" si="9"/>
        <v>14</v>
      </c>
      <c r="F39" s="558">
        <v>15</v>
      </c>
      <c r="G39" s="559">
        <v>30</v>
      </c>
      <c r="H39" s="559" t="s">
        <v>487</v>
      </c>
      <c r="I39" s="560">
        <v>14</v>
      </c>
      <c r="J39" s="560">
        <v>9.7000000000000003E-3</v>
      </c>
      <c r="K39" s="559">
        <v>14</v>
      </c>
      <c r="L39" s="559">
        <v>9.7000000000000003E-3</v>
      </c>
      <c r="M39" s="561">
        <f t="shared" si="10"/>
        <v>2.9100000000000001E-2</v>
      </c>
      <c r="N39" s="562" t="s">
        <v>286</v>
      </c>
      <c r="O39" s="562" t="s">
        <v>286</v>
      </c>
    </row>
    <row r="40" spans="1:15">
      <c r="A40" s="545" t="s">
        <v>474</v>
      </c>
      <c r="B40" s="546">
        <f>1.5*0.746</f>
        <v>1.119</v>
      </c>
      <c r="C40" s="547">
        <v>10</v>
      </c>
      <c r="D40" s="548">
        <f t="shared" si="8"/>
        <v>12.5</v>
      </c>
      <c r="E40" s="546">
        <f t="shared" si="9"/>
        <v>17.5</v>
      </c>
      <c r="F40" s="549">
        <v>20</v>
      </c>
      <c r="G40" s="550">
        <v>30</v>
      </c>
      <c r="H40" s="550" t="s">
        <v>489</v>
      </c>
      <c r="I40" s="550">
        <v>14</v>
      </c>
      <c r="J40" s="550">
        <v>9.7000000000000003E-3</v>
      </c>
      <c r="K40" s="550">
        <v>12</v>
      </c>
      <c r="L40" s="550">
        <v>1.3300000000000001E-2</v>
      </c>
      <c r="M40" s="552">
        <f t="shared" si="10"/>
        <v>3.27E-2</v>
      </c>
      <c r="N40" s="553" t="s">
        <v>286</v>
      </c>
      <c r="O40" s="553" t="s">
        <v>286</v>
      </c>
    </row>
    <row r="41" spans="1:15">
      <c r="A41" s="554">
        <v>2</v>
      </c>
      <c r="B41" s="555">
        <f t="shared" si="11"/>
        <v>1.492</v>
      </c>
      <c r="C41" s="556">
        <v>12</v>
      </c>
      <c r="D41" s="557">
        <f t="shared" si="8"/>
        <v>15</v>
      </c>
      <c r="E41" s="555">
        <f t="shared" si="9"/>
        <v>21</v>
      </c>
      <c r="F41" s="558">
        <v>25</v>
      </c>
      <c r="G41" s="559">
        <v>30</v>
      </c>
      <c r="H41" s="559" t="s">
        <v>489</v>
      </c>
      <c r="I41" s="560">
        <v>14</v>
      </c>
      <c r="J41" s="560">
        <v>9.7000000000000003E-3</v>
      </c>
      <c r="K41" s="559">
        <v>10</v>
      </c>
      <c r="L41" s="559">
        <v>2.1100000000000001E-2</v>
      </c>
      <c r="M41" s="561">
        <f t="shared" si="10"/>
        <v>4.0500000000000001E-2</v>
      </c>
      <c r="N41" s="562" t="s">
        <v>286</v>
      </c>
      <c r="O41" s="562" t="s">
        <v>286</v>
      </c>
    </row>
    <row r="42" spans="1:15">
      <c r="A42" s="545">
        <v>3</v>
      </c>
      <c r="B42" s="546">
        <f t="shared" si="11"/>
        <v>2.238</v>
      </c>
      <c r="C42" s="547">
        <v>17</v>
      </c>
      <c r="D42" s="548">
        <f t="shared" si="8"/>
        <v>21.25</v>
      </c>
      <c r="E42" s="546">
        <f t="shared" si="9"/>
        <v>29.75</v>
      </c>
      <c r="F42" s="549">
        <v>30</v>
      </c>
      <c r="G42" s="550">
        <v>30</v>
      </c>
      <c r="H42" s="550" t="s">
        <v>489</v>
      </c>
      <c r="I42" s="550">
        <v>10</v>
      </c>
      <c r="J42" s="550">
        <v>2.1100000000000001E-2</v>
      </c>
      <c r="K42" s="550">
        <v>10</v>
      </c>
      <c r="L42" s="550">
        <v>2.1100000000000001E-2</v>
      </c>
      <c r="M42" s="552">
        <f t="shared" si="10"/>
        <v>6.3299999999999995E-2</v>
      </c>
      <c r="N42" s="553" t="s">
        <v>286</v>
      </c>
      <c r="O42" s="553" t="s">
        <v>286</v>
      </c>
    </row>
    <row r="43" spans="1:15">
      <c r="A43" s="554">
        <v>5</v>
      </c>
      <c r="B43" s="555">
        <f t="shared" si="11"/>
        <v>3.73</v>
      </c>
      <c r="C43" s="556">
        <v>28</v>
      </c>
      <c r="D43" s="557">
        <f t="shared" si="8"/>
        <v>35</v>
      </c>
      <c r="E43" s="555">
        <f t="shared" si="9"/>
        <v>49</v>
      </c>
      <c r="F43" s="558">
        <v>50</v>
      </c>
      <c r="G43" s="559">
        <v>60</v>
      </c>
      <c r="H43" s="559">
        <v>1</v>
      </c>
      <c r="I43" s="560">
        <v>8</v>
      </c>
      <c r="J43" s="560">
        <v>3.6600000000000001E-2</v>
      </c>
      <c r="K43" s="559">
        <v>10</v>
      </c>
      <c r="L43" s="559">
        <v>2.1100000000000001E-2</v>
      </c>
      <c r="M43" s="561">
        <f t="shared" si="10"/>
        <v>9.4299999999999995E-2</v>
      </c>
      <c r="N43" s="562" t="s">
        <v>286</v>
      </c>
      <c r="O43" s="562" t="s">
        <v>288</v>
      </c>
    </row>
    <row r="44" spans="1:15">
      <c r="A44" s="545" t="s">
        <v>476</v>
      </c>
      <c r="B44" s="546">
        <f>7.5*0.746</f>
        <v>5.5949999999999998</v>
      </c>
      <c r="C44" s="547">
        <v>40</v>
      </c>
      <c r="D44" s="548">
        <f t="shared" si="8"/>
        <v>50</v>
      </c>
      <c r="E44" s="546">
        <f t="shared" si="9"/>
        <v>70</v>
      </c>
      <c r="F44" s="549">
        <v>70</v>
      </c>
      <c r="G44" s="550">
        <v>100</v>
      </c>
      <c r="H44" s="550">
        <v>1</v>
      </c>
      <c r="I44" s="550">
        <v>6</v>
      </c>
      <c r="J44" s="550">
        <v>5.0700000000000002E-2</v>
      </c>
      <c r="K44" s="550">
        <v>8</v>
      </c>
      <c r="L44" s="550">
        <v>3.6600000000000001E-2</v>
      </c>
      <c r="M44" s="552">
        <f t="shared" si="10"/>
        <v>0.13800000000000001</v>
      </c>
      <c r="N44" s="553" t="s">
        <v>288</v>
      </c>
      <c r="O44" s="553" t="s">
        <v>52</v>
      </c>
    </row>
    <row r="45" spans="1:15">
      <c r="A45" s="554">
        <v>10</v>
      </c>
      <c r="B45" s="555">
        <f t="shared" si="11"/>
        <v>7.46</v>
      </c>
      <c r="C45" s="556">
        <v>50</v>
      </c>
      <c r="D45" s="557">
        <f t="shared" si="8"/>
        <v>62.5</v>
      </c>
      <c r="E45" s="555">
        <f t="shared" si="9"/>
        <v>87.5</v>
      </c>
      <c r="F45" s="558">
        <v>90</v>
      </c>
      <c r="G45" s="559">
        <v>200</v>
      </c>
      <c r="H45" s="559">
        <v>2</v>
      </c>
      <c r="I45" s="560">
        <v>4</v>
      </c>
      <c r="J45" s="560">
        <v>8.2400000000000001E-2</v>
      </c>
      <c r="K45" s="559">
        <v>8</v>
      </c>
      <c r="L45" s="559">
        <v>3.6600000000000001E-2</v>
      </c>
      <c r="M45" s="561">
        <f t="shared" si="10"/>
        <v>0.2014</v>
      </c>
      <c r="N45" s="562" t="s">
        <v>288</v>
      </c>
      <c r="O45" s="562" t="s">
        <v>52</v>
      </c>
    </row>
    <row r="47" spans="1:15">
      <c r="A47" s="565" t="s">
        <v>666</v>
      </c>
    </row>
    <row r="48" spans="1:15">
      <c r="A48" s="566" t="s">
        <v>762</v>
      </c>
    </row>
    <row r="49" spans="1:1">
      <c r="A49" s="566" t="s">
        <v>763</v>
      </c>
    </row>
    <row r="50" spans="1:1">
      <c r="A50" s="565" t="s">
        <v>788</v>
      </c>
    </row>
    <row r="51" spans="1:1">
      <c r="A51" s="565" t="s">
        <v>3</v>
      </c>
    </row>
  </sheetData>
  <sheetProtection algorithmName="SHA-512" hashValue="bqlBQTN2xR6G+VQo+YvDhThzHNYTeIkxTznpLK1oqBQeyYDlYXwyk4klyXjJo2KHDaXquAH4F0nIBN3/4IAY9A==" saltValue="SUTlWAisXg/3bXv9isfovQ==" spinCount="100000" sheet="1" objects="1" scenarios="1"/>
  <mergeCells count="3">
    <mergeCell ref="A2:O2"/>
    <mergeCell ref="A17:O17"/>
    <mergeCell ref="A32:O32"/>
  </mergeCells>
  <pageMargins left="0.7" right="0.7" top="0.75" bottom="0.75" header="0.3" footer="0.3"/>
  <pageSetup scale="97" fitToHeight="2" orientation="landscape" horizontalDpi="1200" verticalDpi="1200" r:id="rId1"/>
  <rowBreaks count="1" manualBreakCount="1">
    <brk id="30" max="16383"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G118"/>
  <sheetViews>
    <sheetView zoomScaleNormal="100" workbookViewId="0">
      <selection activeCell="H23" sqref="H23"/>
    </sheetView>
  </sheetViews>
  <sheetFormatPr defaultColWidth="10.42578125" defaultRowHeight="12.75"/>
  <cols>
    <col min="1" max="1" width="15" style="512" customWidth="1"/>
    <col min="2" max="7" width="15" style="293" customWidth="1"/>
    <col min="8" max="16384" width="10.42578125" style="293"/>
  </cols>
  <sheetData>
    <row r="1" spans="1:6">
      <c r="A1" s="616" t="s">
        <v>549</v>
      </c>
      <c r="F1" s="883">
        <v>42689</v>
      </c>
    </row>
    <row r="3" spans="1:6" s="512" customFormat="1" ht="14.25">
      <c r="A3" s="512" t="s">
        <v>550</v>
      </c>
      <c r="B3" s="512" t="s">
        <v>551</v>
      </c>
      <c r="C3" s="512" t="s">
        <v>552</v>
      </c>
      <c r="D3" s="512" t="s">
        <v>921</v>
      </c>
      <c r="E3" s="512" t="s">
        <v>483</v>
      </c>
    </row>
    <row r="4" spans="1:6">
      <c r="A4" s="188">
        <v>1</v>
      </c>
      <c r="B4" s="617">
        <v>5</v>
      </c>
      <c r="C4" s="618" t="s">
        <v>555</v>
      </c>
      <c r="D4" s="619">
        <v>9.7000000000000003E-3</v>
      </c>
      <c r="E4" s="620">
        <f>B4*D4</f>
        <v>4.8500000000000001E-2</v>
      </c>
    </row>
    <row r="5" spans="1:6">
      <c r="A5" s="188">
        <v>2</v>
      </c>
      <c r="B5" s="617">
        <v>7</v>
      </c>
      <c r="C5" s="618" t="s">
        <v>628</v>
      </c>
      <c r="D5" s="619">
        <v>1.3299999999999999E-2</v>
      </c>
      <c r="E5" s="620">
        <f t="shared" ref="E5:E27" si="0">B5*D5</f>
        <v>9.3099999999999988E-2</v>
      </c>
    </row>
    <row r="6" spans="1:6">
      <c r="A6" s="188">
        <v>3</v>
      </c>
      <c r="B6" s="617">
        <v>5</v>
      </c>
      <c r="C6" s="618" t="s">
        <v>554</v>
      </c>
      <c r="D6" s="619">
        <v>2.1100000000000001E-2</v>
      </c>
      <c r="E6" s="620">
        <f t="shared" si="0"/>
        <v>0.10550000000000001</v>
      </c>
    </row>
    <row r="7" spans="1:6">
      <c r="A7" s="188">
        <v>4</v>
      </c>
      <c r="B7" s="617">
        <v>4</v>
      </c>
      <c r="C7" s="618" t="s">
        <v>553</v>
      </c>
      <c r="D7" s="619">
        <v>3.6600000000000001E-2</v>
      </c>
      <c r="E7" s="620">
        <f t="shared" si="0"/>
        <v>0.1464</v>
      </c>
    </row>
    <row r="8" spans="1:6">
      <c r="A8" s="188">
        <v>5</v>
      </c>
      <c r="B8" s="617">
        <v>0</v>
      </c>
      <c r="C8" s="618" t="s">
        <v>625</v>
      </c>
      <c r="D8" s="619">
        <v>5.0700000000000002E-2</v>
      </c>
      <c r="E8" s="620">
        <f t="shared" si="0"/>
        <v>0</v>
      </c>
    </row>
    <row r="9" spans="1:6">
      <c r="A9" s="188">
        <v>6</v>
      </c>
      <c r="B9" s="617">
        <v>0</v>
      </c>
      <c r="C9" s="618" t="s">
        <v>626</v>
      </c>
      <c r="D9" s="619">
        <v>8.2400000000000001E-2</v>
      </c>
      <c r="E9" s="620">
        <f t="shared" si="0"/>
        <v>0</v>
      </c>
    </row>
    <row r="10" spans="1:6">
      <c r="A10" s="188">
        <v>7</v>
      </c>
      <c r="B10" s="617">
        <v>0</v>
      </c>
      <c r="C10" s="618" t="s">
        <v>629</v>
      </c>
      <c r="D10" s="619">
        <v>9.7299999999999998E-2</v>
      </c>
      <c r="E10" s="620">
        <f t="shared" si="0"/>
        <v>0</v>
      </c>
    </row>
    <row r="11" spans="1:6">
      <c r="A11" s="188">
        <v>8</v>
      </c>
      <c r="B11" s="617">
        <v>0</v>
      </c>
      <c r="C11" s="618" t="s">
        <v>627</v>
      </c>
      <c r="D11" s="619">
        <v>0.1158</v>
      </c>
      <c r="E11" s="620">
        <f t="shared" si="0"/>
        <v>0</v>
      </c>
    </row>
    <row r="12" spans="1:6">
      <c r="A12" s="188">
        <v>9</v>
      </c>
      <c r="B12" s="617">
        <v>0</v>
      </c>
      <c r="C12" s="618" t="s">
        <v>630</v>
      </c>
      <c r="D12" s="619">
        <v>0.15620000000000001</v>
      </c>
      <c r="E12" s="620">
        <f t="shared" si="0"/>
        <v>0</v>
      </c>
    </row>
    <row r="13" spans="1:6">
      <c r="A13" s="188">
        <v>10</v>
      </c>
      <c r="B13" s="617">
        <v>0</v>
      </c>
      <c r="C13" s="618" t="s">
        <v>631</v>
      </c>
      <c r="D13" s="619">
        <v>0.1855</v>
      </c>
      <c r="E13" s="620">
        <f t="shared" si="0"/>
        <v>0</v>
      </c>
    </row>
    <row r="14" spans="1:6">
      <c r="A14" s="188">
        <v>11</v>
      </c>
      <c r="B14" s="617">
        <v>0</v>
      </c>
      <c r="C14" s="618" t="s">
        <v>632</v>
      </c>
      <c r="D14" s="619">
        <v>0.2223</v>
      </c>
      <c r="E14" s="620">
        <f t="shared" si="0"/>
        <v>0</v>
      </c>
    </row>
    <row r="15" spans="1:6">
      <c r="A15" s="188">
        <v>12</v>
      </c>
      <c r="B15" s="617">
        <v>0</v>
      </c>
      <c r="C15" s="618" t="s">
        <v>633</v>
      </c>
      <c r="D15" s="619">
        <v>0.26790000000000003</v>
      </c>
      <c r="E15" s="620">
        <f t="shared" si="0"/>
        <v>0</v>
      </c>
    </row>
    <row r="16" spans="1:6">
      <c r="A16" s="188">
        <v>13</v>
      </c>
      <c r="B16" s="617">
        <v>0</v>
      </c>
      <c r="C16" s="618" t="s">
        <v>634</v>
      </c>
      <c r="D16" s="619">
        <v>0.32369999999999999</v>
      </c>
      <c r="E16" s="620">
        <f t="shared" si="0"/>
        <v>0</v>
      </c>
    </row>
    <row r="17" spans="1:7">
      <c r="A17" s="188">
        <v>14</v>
      </c>
      <c r="B17" s="617">
        <v>0</v>
      </c>
      <c r="C17" s="618" t="s">
        <v>635</v>
      </c>
      <c r="D17" s="619">
        <v>0.39700000000000002</v>
      </c>
      <c r="E17" s="620">
        <f t="shared" si="0"/>
        <v>0</v>
      </c>
    </row>
    <row r="18" spans="1:7">
      <c r="A18" s="188">
        <v>15</v>
      </c>
      <c r="B18" s="617">
        <v>0</v>
      </c>
      <c r="C18" s="994" t="s">
        <v>1073</v>
      </c>
      <c r="D18" s="619">
        <v>0.46079999999999999</v>
      </c>
      <c r="E18" s="620">
        <f t="shared" si="0"/>
        <v>0</v>
      </c>
    </row>
    <row r="19" spans="1:7">
      <c r="A19" s="188">
        <v>16</v>
      </c>
      <c r="B19" s="617">
        <v>0</v>
      </c>
      <c r="C19" s="994" t="s">
        <v>1074</v>
      </c>
      <c r="D19" s="619">
        <v>0.5242</v>
      </c>
      <c r="E19" s="620">
        <f t="shared" si="0"/>
        <v>0</v>
      </c>
    </row>
    <row r="20" spans="1:7">
      <c r="A20" s="188">
        <v>17</v>
      </c>
      <c r="B20" s="617">
        <v>0</v>
      </c>
      <c r="C20" s="994" t="s">
        <v>1075</v>
      </c>
      <c r="D20" s="619">
        <v>0.58630000000000004</v>
      </c>
      <c r="E20" s="620">
        <f t="shared" si="0"/>
        <v>0</v>
      </c>
    </row>
    <row r="21" spans="1:7">
      <c r="A21" s="188">
        <v>18</v>
      </c>
      <c r="B21" s="617">
        <v>0</v>
      </c>
      <c r="C21" s="994" t="s">
        <v>1076</v>
      </c>
      <c r="D21" s="619">
        <v>0.70730000000000004</v>
      </c>
      <c r="E21" s="620">
        <f t="shared" si="0"/>
        <v>0</v>
      </c>
    </row>
    <row r="22" spans="1:7">
      <c r="A22" s="188">
        <v>19</v>
      </c>
      <c r="B22" s="617">
        <v>0</v>
      </c>
      <c r="C22" s="994" t="s">
        <v>1077</v>
      </c>
      <c r="D22" s="619">
        <v>0.86760000000000004</v>
      </c>
      <c r="E22" s="620">
        <f t="shared" si="0"/>
        <v>0</v>
      </c>
    </row>
    <row r="23" spans="1:7">
      <c r="A23" s="188">
        <v>20</v>
      </c>
      <c r="B23" s="617">
        <v>0</v>
      </c>
      <c r="C23" s="994" t="s">
        <v>1078</v>
      </c>
      <c r="D23" s="619">
        <v>0.98870000000000002</v>
      </c>
      <c r="E23" s="620">
        <f t="shared" si="0"/>
        <v>0</v>
      </c>
    </row>
    <row r="24" spans="1:7">
      <c r="A24" s="188">
        <v>21</v>
      </c>
      <c r="B24" s="617">
        <v>0</v>
      </c>
      <c r="C24" s="994" t="s">
        <v>1079</v>
      </c>
      <c r="D24" s="619">
        <v>1.0496000000000001</v>
      </c>
      <c r="E24" s="620">
        <f t="shared" si="0"/>
        <v>0</v>
      </c>
    </row>
    <row r="25" spans="1:7">
      <c r="A25" s="188">
        <v>22</v>
      </c>
      <c r="B25" s="617">
        <v>0</v>
      </c>
      <c r="C25" s="994" t="s">
        <v>1080</v>
      </c>
      <c r="D25" s="619">
        <v>1.1085</v>
      </c>
      <c r="E25" s="620">
        <f t="shared" si="0"/>
        <v>0</v>
      </c>
    </row>
    <row r="26" spans="1:7">
      <c r="A26" s="188">
        <v>23</v>
      </c>
      <c r="B26" s="617">
        <v>0</v>
      </c>
      <c r="C26" s="994" t="s">
        <v>1081</v>
      </c>
      <c r="D26" s="619">
        <v>1.2311000000000001</v>
      </c>
      <c r="E26" s="620">
        <f t="shared" si="0"/>
        <v>0</v>
      </c>
    </row>
    <row r="27" spans="1:7">
      <c r="A27" s="188">
        <v>24</v>
      </c>
      <c r="B27" s="617">
        <v>0</v>
      </c>
      <c r="C27" s="994" t="s">
        <v>1082</v>
      </c>
      <c r="D27" s="619">
        <v>1.3478000000000001</v>
      </c>
      <c r="E27" s="620">
        <f t="shared" si="0"/>
        <v>0</v>
      </c>
    </row>
    <row r="28" spans="1:7">
      <c r="A28" s="188">
        <v>25</v>
      </c>
      <c r="B28" s="621"/>
      <c r="C28" s="622"/>
      <c r="D28" s="622"/>
      <c r="E28" s="623">
        <f>SUM(E4:E27)</f>
        <v>0.39350000000000002</v>
      </c>
      <c r="F28" s="624" t="s">
        <v>556</v>
      </c>
    </row>
    <row r="29" spans="1:7" ht="15" customHeight="1">
      <c r="A29" s="188">
        <v>26</v>
      </c>
      <c r="B29" s="625"/>
      <c r="C29" s="626" t="s">
        <v>557</v>
      </c>
      <c r="F29" s="624"/>
    </row>
    <row r="30" spans="1:7" s="512" customFormat="1" ht="16.5" customHeight="1">
      <c r="A30" s="188">
        <v>27</v>
      </c>
      <c r="B30" s="626" t="s">
        <v>551</v>
      </c>
      <c r="C30" s="512" t="s">
        <v>558</v>
      </c>
      <c r="D30" s="627" t="s">
        <v>921</v>
      </c>
      <c r="E30" s="628" t="s">
        <v>483</v>
      </c>
    </row>
    <row r="31" spans="1:7">
      <c r="A31" s="188">
        <v>28</v>
      </c>
      <c r="B31" s="617">
        <v>0</v>
      </c>
      <c r="C31" s="629">
        <v>0.5</v>
      </c>
      <c r="D31" s="630">
        <f>3.14*((C31/2)*(C31/2))</f>
        <v>0.19625000000000001</v>
      </c>
      <c r="E31" s="620">
        <f>B31*D31</f>
        <v>0</v>
      </c>
      <c r="F31" s="631"/>
      <c r="G31" s="631"/>
    </row>
    <row r="32" spans="1:7">
      <c r="A32" s="188">
        <v>29</v>
      </c>
      <c r="B32" s="617">
        <v>0</v>
      </c>
      <c r="C32" s="629">
        <v>2</v>
      </c>
      <c r="D32" s="630">
        <f>3.14*((C32/2)*(C32/2))</f>
        <v>3.14</v>
      </c>
      <c r="E32" s="620">
        <f>B32*D32</f>
        <v>0</v>
      </c>
      <c r="F32" s="631"/>
      <c r="G32" s="631"/>
    </row>
    <row r="33" spans="1:7">
      <c r="A33" s="188">
        <v>30</v>
      </c>
      <c r="B33" s="617">
        <v>0</v>
      </c>
      <c r="C33" s="629">
        <v>2</v>
      </c>
      <c r="D33" s="630">
        <f>3.14*((C33/2)*(C33/2))</f>
        <v>3.14</v>
      </c>
      <c r="E33" s="620">
        <f>B33*D33</f>
        <v>0</v>
      </c>
      <c r="F33" s="631"/>
      <c r="G33" s="631"/>
    </row>
    <row r="34" spans="1:7">
      <c r="A34" s="188">
        <v>31</v>
      </c>
      <c r="B34" s="621"/>
      <c r="C34" s="622"/>
      <c r="D34" s="482" t="s">
        <v>35</v>
      </c>
      <c r="E34" s="629"/>
      <c r="F34" s="631" t="s">
        <v>559</v>
      </c>
      <c r="G34" s="631"/>
    </row>
    <row r="35" spans="1:7">
      <c r="A35" s="188">
        <v>32</v>
      </c>
      <c r="B35" s="621"/>
      <c r="C35" s="622"/>
      <c r="D35" s="482" t="s">
        <v>35</v>
      </c>
      <c r="E35" s="629"/>
      <c r="F35" s="631" t="s">
        <v>559</v>
      </c>
      <c r="G35" s="631"/>
    </row>
    <row r="36" spans="1:7">
      <c r="A36" s="188">
        <v>33</v>
      </c>
      <c r="B36" s="621"/>
      <c r="C36" s="622"/>
      <c r="D36" s="622"/>
      <c r="E36" s="632">
        <f>SUM(E31:E35)</f>
        <v>0</v>
      </c>
      <c r="F36" s="624" t="s">
        <v>560</v>
      </c>
    </row>
    <row r="37" spans="1:7">
      <c r="A37" s="188">
        <v>34</v>
      </c>
      <c r="B37" s="621"/>
      <c r="C37" s="622"/>
      <c r="D37" s="622"/>
      <c r="E37" s="633"/>
      <c r="F37" s="624"/>
    </row>
    <row r="38" spans="1:7">
      <c r="A38" s="188">
        <v>35</v>
      </c>
      <c r="B38" s="621"/>
      <c r="C38" s="622"/>
      <c r="D38" s="622"/>
      <c r="E38" s="633">
        <f>E28</f>
        <v>0.39350000000000002</v>
      </c>
      <c r="F38" s="624" t="str">
        <f>F28</f>
        <v>Subtotal 1</v>
      </c>
    </row>
    <row r="39" spans="1:7">
      <c r="A39" s="188">
        <v>36</v>
      </c>
      <c r="B39" s="621"/>
      <c r="C39" s="622"/>
      <c r="D39" s="622"/>
      <c r="E39" s="633">
        <f>E36</f>
        <v>0</v>
      </c>
      <c r="F39" s="624" t="str">
        <f>F36</f>
        <v>Subtotal 2</v>
      </c>
      <c r="G39" s="293" t="s">
        <v>922</v>
      </c>
    </row>
    <row r="40" spans="1:7" ht="13.5" thickBot="1">
      <c r="A40" s="188">
        <v>37</v>
      </c>
      <c r="B40" s="625"/>
      <c r="E40" s="634">
        <f>E28+E36</f>
        <v>0.39350000000000002</v>
      </c>
      <c r="F40" s="482" t="s">
        <v>561</v>
      </c>
    </row>
    <row r="41" spans="1:7" ht="13.5" thickTop="1">
      <c r="E41" s="635"/>
      <c r="F41" s="482"/>
    </row>
    <row r="42" spans="1:7">
      <c r="A42" s="856" t="s">
        <v>0</v>
      </c>
      <c r="B42" s="857"/>
      <c r="C42" s="857"/>
      <c r="D42" s="857"/>
      <c r="E42" s="857"/>
      <c r="F42" s="857"/>
      <c r="G42" s="857"/>
    </row>
    <row r="43" spans="1:7">
      <c r="A43" s="856">
        <v>1</v>
      </c>
      <c r="B43" s="857" t="s">
        <v>562</v>
      </c>
      <c r="C43" s="857"/>
      <c r="D43" s="857"/>
      <c r="E43" s="857"/>
      <c r="F43" s="857"/>
      <c r="G43" s="857"/>
    </row>
    <row r="44" spans="1:7">
      <c r="A44" s="856"/>
      <c r="B44" s="857" t="s">
        <v>931</v>
      </c>
      <c r="C44" s="857"/>
      <c r="D44" s="857"/>
      <c r="E44" s="857"/>
      <c r="F44" s="857"/>
      <c r="G44" s="857"/>
    </row>
    <row r="45" spans="1:7">
      <c r="A45" s="856"/>
      <c r="B45" s="857" t="s">
        <v>932</v>
      </c>
      <c r="C45" s="857"/>
      <c r="D45" s="857"/>
      <c r="E45" s="857"/>
      <c r="F45" s="857"/>
      <c r="G45" s="857"/>
    </row>
    <row r="46" spans="1:7">
      <c r="A46" s="856">
        <v>2</v>
      </c>
      <c r="B46" s="857" t="s">
        <v>563</v>
      </c>
      <c r="C46" s="857"/>
      <c r="D46" s="857"/>
      <c r="E46" s="857"/>
      <c r="F46" s="857"/>
      <c r="G46" s="857"/>
    </row>
    <row r="47" spans="1:7">
      <c r="A47" s="856"/>
      <c r="B47" s="857" t="s">
        <v>564</v>
      </c>
      <c r="C47" s="857" t="s">
        <v>565</v>
      </c>
      <c r="D47" s="857"/>
      <c r="E47" s="857"/>
      <c r="F47" s="857"/>
      <c r="G47" s="857"/>
    </row>
    <row r="48" spans="1:7">
      <c r="A48" s="856"/>
      <c r="B48" s="857" t="s">
        <v>566</v>
      </c>
      <c r="C48" s="857" t="s">
        <v>567</v>
      </c>
      <c r="D48" s="857"/>
      <c r="E48" s="857"/>
      <c r="F48" s="857"/>
      <c r="G48" s="857"/>
    </row>
    <row r="49" spans="1:7">
      <c r="A49" s="856"/>
      <c r="B49" s="857" t="s">
        <v>568</v>
      </c>
      <c r="C49" s="858" t="s">
        <v>569</v>
      </c>
      <c r="D49" s="857"/>
      <c r="E49" s="857"/>
      <c r="F49" s="857"/>
      <c r="G49" s="857"/>
    </row>
    <row r="50" spans="1:7">
      <c r="A50" s="856"/>
      <c r="B50" s="857" t="s">
        <v>570</v>
      </c>
      <c r="C50" s="857" t="s">
        <v>571</v>
      </c>
      <c r="D50" s="857"/>
      <c r="E50" s="857"/>
      <c r="F50" s="857"/>
      <c r="G50" s="857"/>
    </row>
    <row r="51" spans="1:7">
      <c r="A51" s="856"/>
      <c r="B51" s="857" t="s">
        <v>572</v>
      </c>
      <c r="C51" s="857" t="s">
        <v>573</v>
      </c>
      <c r="D51" s="857"/>
      <c r="E51" s="857"/>
      <c r="F51" s="857"/>
      <c r="G51" s="857"/>
    </row>
    <row r="52" spans="1:7">
      <c r="A52" s="856"/>
      <c r="B52" s="857" t="s">
        <v>574</v>
      </c>
      <c r="C52" s="857" t="s">
        <v>575</v>
      </c>
      <c r="D52" s="857"/>
      <c r="E52" s="857"/>
      <c r="F52" s="857"/>
      <c r="G52" s="857"/>
    </row>
    <row r="54" spans="1:7" ht="14.25">
      <c r="A54" s="1237" t="s">
        <v>923</v>
      </c>
      <c r="B54" s="1237"/>
      <c r="C54" s="1237"/>
      <c r="D54" s="1237"/>
      <c r="E54" s="1237"/>
      <c r="F54" s="1237"/>
      <c r="G54" s="1237"/>
    </row>
    <row r="55" spans="1:7" s="482" customFormat="1">
      <c r="A55" s="636" t="s">
        <v>523</v>
      </c>
      <c r="B55" s="636" t="s">
        <v>483</v>
      </c>
      <c r="C55" s="636" t="s">
        <v>924</v>
      </c>
      <c r="D55" s="636" t="s">
        <v>524</v>
      </c>
      <c r="E55" s="636" t="s">
        <v>525</v>
      </c>
      <c r="F55" s="636" t="s">
        <v>526</v>
      </c>
      <c r="G55" s="636" t="s">
        <v>527</v>
      </c>
    </row>
    <row r="56" spans="1:7" s="482" customFormat="1">
      <c r="A56" s="636" t="s">
        <v>528</v>
      </c>
      <c r="B56" s="636" t="s">
        <v>576</v>
      </c>
      <c r="C56" s="636" t="s">
        <v>577</v>
      </c>
      <c r="D56" s="636" t="s">
        <v>578</v>
      </c>
      <c r="E56" s="636" t="s">
        <v>579</v>
      </c>
      <c r="F56" s="636" t="s">
        <v>580</v>
      </c>
      <c r="G56" s="636" t="s">
        <v>581</v>
      </c>
    </row>
    <row r="57" spans="1:7">
      <c r="A57" s="637" t="s">
        <v>582</v>
      </c>
      <c r="B57" s="638">
        <v>0.314</v>
      </c>
      <c r="C57" s="638">
        <f>$B57*C$56</f>
        <v>0.18839999999999998</v>
      </c>
      <c r="D57" s="638">
        <f t="shared" ref="D57:G68" si="1">$B57*D$56</f>
        <v>0.16642000000000001</v>
      </c>
      <c r="E57" s="638">
        <f t="shared" si="1"/>
        <v>9.7339999999999996E-2</v>
      </c>
      <c r="F57" s="638">
        <f t="shared" si="1"/>
        <v>0.12560000000000002</v>
      </c>
      <c r="G57" s="638">
        <f t="shared" si="1"/>
        <v>7.85E-2</v>
      </c>
    </row>
    <row r="58" spans="1:7">
      <c r="A58" s="637" t="s">
        <v>583</v>
      </c>
      <c r="B58" s="638">
        <v>0.54900000000000004</v>
      </c>
      <c r="C58" s="638">
        <f t="shared" ref="C58:C68" si="2">$B58*C$56</f>
        <v>0.32940000000000003</v>
      </c>
      <c r="D58" s="638">
        <f t="shared" si="1"/>
        <v>0.29097000000000006</v>
      </c>
      <c r="E58" s="638">
        <f t="shared" si="1"/>
        <v>0.17019000000000001</v>
      </c>
      <c r="F58" s="638">
        <f t="shared" si="1"/>
        <v>0.21960000000000002</v>
      </c>
      <c r="G58" s="638">
        <f t="shared" si="1"/>
        <v>0.13725000000000001</v>
      </c>
    </row>
    <row r="59" spans="1:7">
      <c r="A59" s="637" t="s">
        <v>584</v>
      </c>
      <c r="B59" s="638">
        <v>0.88700000000000001</v>
      </c>
      <c r="C59" s="638">
        <f t="shared" si="2"/>
        <v>0.53220000000000001</v>
      </c>
      <c r="D59" s="638">
        <f t="shared" si="1"/>
        <v>0.47011000000000003</v>
      </c>
      <c r="E59" s="638">
        <f t="shared" si="1"/>
        <v>0.27496999999999999</v>
      </c>
      <c r="F59" s="638">
        <f t="shared" si="1"/>
        <v>0.3548</v>
      </c>
      <c r="G59" s="638">
        <f t="shared" si="1"/>
        <v>0.22175</v>
      </c>
    </row>
    <row r="60" spans="1:7">
      <c r="A60" s="637" t="s">
        <v>585</v>
      </c>
      <c r="B60" s="638">
        <v>1.526</v>
      </c>
      <c r="C60" s="638">
        <f t="shared" si="2"/>
        <v>0.91559999999999997</v>
      </c>
      <c r="D60" s="638">
        <f t="shared" si="1"/>
        <v>0.80878000000000005</v>
      </c>
      <c r="E60" s="638">
        <f t="shared" si="1"/>
        <v>0.47305999999999998</v>
      </c>
      <c r="F60" s="638">
        <f t="shared" si="1"/>
        <v>0.61040000000000005</v>
      </c>
      <c r="G60" s="638">
        <f t="shared" si="1"/>
        <v>0.38150000000000001</v>
      </c>
    </row>
    <row r="61" spans="1:7">
      <c r="A61" s="637" t="s">
        <v>586</v>
      </c>
      <c r="B61" s="638">
        <v>2.0710000000000002</v>
      </c>
      <c r="C61" s="638">
        <f t="shared" si="2"/>
        <v>1.2426000000000001</v>
      </c>
      <c r="D61" s="638">
        <f t="shared" si="1"/>
        <v>1.0976300000000001</v>
      </c>
      <c r="E61" s="638">
        <f t="shared" si="1"/>
        <v>0.64201000000000008</v>
      </c>
      <c r="F61" s="638">
        <f t="shared" si="1"/>
        <v>0.82840000000000014</v>
      </c>
      <c r="G61" s="638">
        <f t="shared" si="1"/>
        <v>0.51775000000000004</v>
      </c>
    </row>
    <row r="62" spans="1:7">
      <c r="A62" s="637" t="s">
        <v>587</v>
      </c>
      <c r="B62" s="638">
        <v>3.4079999999999999</v>
      </c>
      <c r="C62" s="638">
        <f t="shared" si="2"/>
        <v>2.0448</v>
      </c>
      <c r="D62" s="638">
        <f t="shared" si="1"/>
        <v>1.8062400000000001</v>
      </c>
      <c r="E62" s="638">
        <f t="shared" si="1"/>
        <v>1.0564799999999999</v>
      </c>
      <c r="F62" s="638">
        <f t="shared" si="1"/>
        <v>1.3632</v>
      </c>
      <c r="G62" s="638">
        <f t="shared" si="1"/>
        <v>0.85199999999999998</v>
      </c>
    </row>
    <row r="63" spans="1:7">
      <c r="A63" s="637" t="s">
        <v>588</v>
      </c>
      <c r="B63" s="638">
        <v>4.8659999999999997</v>
      </c>
      <c r="C63" s="638">
        <f t="shared" si="2"/>
        <v>2.9195999999999995</v>
      </c>
      <c r="D63" s="638">
        <f t="shared" si="1"/>
        <v>2.5789800000000001</v>
      </c>
      <c r="E63" s="638">
        <f t="shared" si="1"/>
        <v>1.5084599999999999</v>
      </c>
      <c r="F63" s="638">
        <f t="shared" si="1"/>
        <v>1.9463999999999999</v>
      </c>
      <c r="G63" s="638">
        <f t="shared" si="1"/>
        <v>1.2164999999999999</v>
      </c>
    </row>
    <row r="64" spans="1:7">
      <c r="A64" s="637" t="s">
        <v>589</v>
      </c>
      <c r="B64" s="638">
        <v>7.4989999999999997</v>
      </c>
      <c r="C64" s="638">
        <f t="shared" si="2"/>
        <v>4.4993999999999996</v>
      </c>
      <c r="D64" s="638">
        <f t="shared" si="1"/>
        <v>3.9744700000000002</v>
      </c>
      <c r="E64" s="638">
        <f t="shared" si="1"/>
        <v>2.3246899999999999</v>
      </c>
      <c r="F64" s="638">
        <f t="shared" si="1"/>
        <v>2.9996</v>
      </c>
      <c r="G64" s="638">
        <f t="shared" si="1"/>
        <v>1.8747499999999999</v>
      </c>
    </row>
    <row r="65" spans="1:7">
      <c r="A65" s="637" t="s">
        <v>590</v>
      </c>
      <c r="B65" s="638">
        <v>10.01</v>
      </c>
      <c r="C65" s="638">
        <f t="shared" si="2"/>
        <v>6.0059999999999993</v>
      </c>
      <c r="D65" s="638">
        <f t="shared" si="1"/>
        <v>5.3052999999999999</v>
      </c>
      <c r="E65" s="638">
        <f t="shared" si="1"/>
        <v>3.1031</v>
      </c>
      <c r="F65" s="638">
        <f t="shared" si="1"/>
        <v>4.0040000000000004</v>
      </c>
      <c r="G65" s="638">
        <f t="shared" si="1"/>
        <v>2.5024999999999999</v>
      </c>
    </row>
    <row r="66" spans="1:7">
      <c r="A66" s="637" t="s">
        <v>301</v>
      </c>
      <c r="B66" s="638">
        <v>12.882</v>
      </c>
      <c r="C66" s="638">
        <f t="shared" si="2"/>
        <v>7.7291999999999996</v>
      </c>
      <c r="D66" s="638">
        <f t="shared" si="1"/>
        <v>6.8274600000000003</v>
      </c>
      <c r="E66" s="638">
        <f t="shared" si="1"/>
        <v>3.99342</v>
      </c>
      <c r="F66" s="638">
        <f t="shared" si="1"/>
        <v>5.1528</v>
      </c>
      <c r="G66" s="638">
        <f t="shared" si="1"/>
        <v>3.2204999999999999</v>
      </c>
    </row>
    <row r="67" spans="1:7">
      <c r="A67" s="637" t="s">
        <v>591</v>
      </c>
      <c r="B67" s="638">
        <v>20.212</v>
      </c>
      <c r="C67" s="638">
        <f t="shared" si="2"/>
        <v>12.1272</v>
      </c>
      <c r="D67" s="638">
        <f t="shared" si="1"/>
        <v>10.71236</v>
      </c>
      <c r="E67" s="638">
        <f t="shared" si="1"/>
        <v>6.26572</v>
      </c>
      <c r="F67" s="638">
        <f t="shared" si="1"/>
        <v>8.0847999999999995</v>
      </c>
      <c r="G67" s="638">
        <f t="shared" si="1"/>
        <v>5.0529999999999999</v>
      </c>
    </row>
    <row r="68" spans="1:7">
      <c r="A68" s="637" t="s">
        <v>302</v>
      </c>
      <c r="B68" s="638">
        <v>29.158000000000001</v>
      </c>
      <c r="C68" s="638">
        <f t="shared" si="2"/>
        <v>17.494800000000001</v>
      </c>
      <c r="D68" s="638">
        <f t="shared" si="1"/>
        <v>15.453740000000002</v>
      </c>
      <c r="E68" s="638">
        <f t="shared" si="1"/>
        <v>9.0389800000000005</v>
      </c>
      <c r="F68" s="638">
        <f t="shared" si="1"/>
        <v>11.663200000000002</v>
      </c>
      <c r="G68" s="638">
        <f t="shared" si="1"/>
        <v>7.2895000000000003</v>
      </c>
    </row>
    <row r="70" spans="1:7" ht="14.25">
      <c r="A70" s="1238" t="s">
        <v>925</v>
      </c>
      <c r="B70" s="1239"/>
      <c r="C70" s="1239"/>
      <c r="D70" s="1239"/>
      <c r="E70" s="1239"/>
      <c r="F70" s="1239"/>
      <c r="G70" s="1240"/>
    </row>
    <row r="71" spans="1:7">
      <c r="A71" s="636" t="s">
        <v>523</v>
      </c>
      <c r="B71" s="636" t="s">
        <v>483</v>
      </c>
      <c r="C71" s="636" t="s">
        <v>924</v>
      </c>
      <c r="D71" s="636" t="s">
        <v>524</v>
      </c>
      <c r="E71" s="636" t="s">
        <v>525</v>
      </c>
      <c r="F71" s="636" t="s">
        <v>526</v>
      </c>
      <c r="G71" s="636" t="s">
        <v>527</v>
      </c>
    </row>
    <row r="72" spans="1:7">
      <c r="A72" s="636" t="s">
        <v>528</v>
      </c>
      <c r="B72" s="636" t="s">
        <v>576</v>
      </c>
      <c r="C72" s="636" t="s">
        <v>577</v>
      </c>
      <c r="D72" s="636" t="s">
        <v>578</v>
      </c>
      <c r="E72" s="636" t="s">
        <v>579</v>
      </c>
      <c r="F72" s="636" t="s">
        <v>580</v>
      </c>
      <c r="G72" s="636" t="s">
        <v>581</v>
      </c>
    </row>
    <row r="73" spans="1:7">
      <c r="A73" s="637" t="s">
        <v>582</v>
      </c>
      <c r="B73" s="638">
        <v>0.28499999999999998</v>
      </c>
      <c r="C73" s="638">
        <f>$B73*C$72</f>
        <v>0.17099999999999999</v>
      </c>
      <c r="D73" s="638">
        <f>$B73*D$72</f>
        <v>0.15104999999999999</v>
      </c>
      <c r="E73" s="638">
        <f>$B73*E$72</f>
        <v>8.8349999999999998E-2</v>
      </c>
      <c r="F73" s="638">
        <f>$B73*F$72</f>
        <v>0.11399999999999999</v>
      </c>
      <c r="G73" s="638">
        <f>$B73*G$72</f>
        <v>7.1249999999999994E-2</v>
      </c>
    </row>
    <row r="74" spans="1:7">
      <c r="A74" s="637" t="s">
        <v>583</v>
      </c>
      <c r="B74" s="638">
        <v>0.50800000000000001</v>
      </c>
      <c r="C74" s="638">
        <f t="shared" ref="C74:G84" si="3">$B74*C$72</f>
        <v>0.30480000000000002</v>
      </c>
      <c r="D74" s="638">
        <f t="shared" si="3"/>
        <v>0.26924000000000003</v>
      </c>
      <c r="E74" s="638">
        <f t="shared" si="3"/>
        <v>0.15748000000000001</v>
      </c>
      <c r="F74" s="638">
        <f t="shared" si="3"/>
        <v>0.20320000000000002</v>
      </c>
      <c r="G74" s="638">
        <f t="shared" si="3"/>
        <v>0.127</v>
      </c>
    </row>
    <row r="75" spans="1:7">
      <c r="A75" s="637" t="s">
        <v>584</v>
      </c>
      <c r="B75" s="638">
        <v>0.83199999999999996</v>
      </c>
      <c r="C75" s="638">
        <f t="shared" si="3"/>
        <v>0.49919999999999998</v>
      </c>
      <c r="D75" s="638">
        <f t="shared" si="3"/>
        <v>0.44096000000000002</v>
      </c>
      <c r="E75" s="638">
        <f t="shared" si="3"/>
        <v>0.25791999999999998</v>
      </c>
      <c r="F75" s="638">
        <f t="shared" si="3"/>
        <v>0.33279999999999998</v>
      </c>
      <c r="G75" s="638">
        <f t="shared" si="3"/>
        <v>0.20799999999999999</v>
      </c>
    </row>
    <row r="76" spans="1:7">
      <c r="A76" s="637" t="s">
        <v>585</v>
      </c>
      <c r="B76" s="638">
        <v>1.4530000000000001</v>
      </c>
      <c r="C76" s="638">
        <f t="shared" si="3"/>
        <v>0.87180000000000002</v>
      </c>
      <c r="D76" s="638">
        <f t="shared" si="3"/>
        <v>0.77009000000000005</v>
      </c>
      <c r="E76" s="638">
        <f t="shared" si="3"/>
        <v>0.45043</v>
      </c>
      <c r="F76" s="638">
        <f t="shared" si="3"/>
        <v>0.58120000000000005</v>
      </c>
      <c r="G76" s="638">
        <f t="shared" si="3"/>
        <v>0.36325000000000002</v>
      </c>
    </row>
    <row r="77" spans="1:7">
      <c r="A77" s="637" t="s">
        <v>586</v>
      </c>
      <c r="B77" s="638">
        <v>1.986</v>
      </c>
      <c r="C77" s="638">
        <f t="shared" si="3"/>
        <v>1.1916</v>
      </c>
      <c r="D77" s="638">
        <f t="shared" si="3"/>
        <v>1.0525800000000001</v>
      </c>
      <c r="E77" s="638">
        <f t="shared" si="3"/>
        <v>0.61565999999999999</v>
      </c>
      <c r="F77" s="638">
        <f t="shared" si="3"/>
        <v>0.7944</v>
      </c>
      <c r="G77" s="638">
        <f t="shared" si="3"/>
        <v>0.4965</v>
      </c>
    </row>
    <row r="78" spans="1:7">
      <c r="A78" s="637" t="s">
        <v>587</v>
      </c>
      <c r="B78" s="638">
        <v>3.2909999999999999</v>
      </c>
      <c r="C78" s="638">
        <f t="shared" si="3"/>
        <v>1.9745999999999999</v>
      </c>
      <c r="D78" s="638">
        <f t="shared" si="3"/>
        <v>1.7442299999999999</v>
      </c>
      <c r="E78" s="638">
        <f t="shared" si="3"/>
        <v>1.0202100000000001</v>
      </c>
      <c r="F78" s="638">
        <f t="shared" si="3"/>
        <v>1.3164</v>
      </c>
      <c r="G78" s="638">
        <f t="shared" si="3"/>
        <v>0.82274999999999998</v>
      </c>
    </row>
    <row r="79" spans="1:7">
      <c r="A79" s="637" t="s">
        <v>588</v>
      </c>
      <c r="B79" s="638">
        <v>4.6950000000000003</v>
      </c>
      <c r="C79" s="638">
        <f t="shared" si="3"/>
        <v>2.8170000000000002</v>
      </c>
      <c r="D79" s="638">
        <f t="shared" si="3"/>
        <v>2.4883500000000001</v>
      </c>
      <c r="E79" s="638">
        <f t="shared" si="3"/>
        <v>1.4554500000000001</v>
      </c>
      <c r="F79" s="638">
        <f t="shared" si="3"/>
        <v>1.8780000000000001</v>
      </c>
      <c r="G79" s="638">
        <f t="shared" si="3"/>
        <v>1.1737500000000001</v>
      </c>
    </row>
    <row r="80" spans="1:7">
      <c r="A80" s="637" t="s">
        <v>589</v>
      </c>
      <c r="B80" s="638">
        <v>7.2679999999999998</v>
      </c>
      <c r="C80" s="638">
        <f t="shared" si="3"/>
        <v>4.3607999999999993</v>
      </c>
      <c r="D80" s="638">
        <f t="shared" si="3"/>
        <v>3.8520400000000001</v>
      </c>
      <c r="E80" s="638">
        <f t="shared" si="3"/>
        <v>2.2530799999999997</v>
      </c>
      <c r="F80" s="638">
        <f t="shared" si="3"/>
        <v>2.9072</v>
      </c>
      <c r="G80" s="638">
        <f t="shared" si="3"/>
        <v>1.8169999999999999</v>
      </c>
    </row>
    <row r="81" spans="1:7">
      <c r="A81" s="637" t="s">
        <v>590</v>
      </c>
      <c r="B81" s="638">
        <v>9.7370000000000001</v>
      </c>
      <c r="C81" s="638">
        <f t="shared" si="3"/>
        <v>5.8422000000000001</v>
      </c>
      <c r="D81" s="638">
        <f t="shared" si="3"/>
        <v>5.1606100000000001</v>
      </c>
      <c r="E81" s="638">
        <f t="shared" si="3"/>
        <v>3.0184700000000002</v>
      </c>
      <c r="F81" s="638">
        <f t="shared" si="3"/>
        <v>3.8948</v>
      </c>
      <c r="G81" s="638">
        <f t="shared" si="3"/>
        <v>2.43425</v>
      </c>
    </row>
    <row r="82" spans="1:7">
      <c r="A82" s="637" t="s">
        <v>301</v>
      </c>
      <c r="B82" s="638">
        <v>12.554</v>
      </c>
      <c r="C82" s="638">
        <f t="shared" si="3"/>
        <v>7.5324</v>
      </c>
      <c r="D82" s="638">
        <f t="shared" si="3"/>
        <v>6.6536200000000001</v>
      </c>
      <c r="E82" s="638">
        <f t="shared" si="3"/>
        <v>3.89174</v>
      </c>
      <c r="F82" s="638">
        <f t="shared" si="3"/>
        <v>5.0216000000000003</v>
      </c>
      <c r="G82" s="638">
        <f t="shared" si="3"/>
        <v>3.1385000000000001</v>
      </c>
    </row>
    <row r="83" spans="1:7">
      <c r="A83" s="637" t="s">
        <v>591</v>
      </c>
      <c r="B83" s="638">
        <v>19.760999999999999</v>
      </c>
      <c r="C83" s="638">
        <f t="shared" si="3"/>
        <v>11.856599999999998</v>
      </c>
      <c r="D83" s="638">
        <f t="shared" si="3"/>
        <v>10.473330000000001</v>
      </c>
      <c r="E83" s="638">
        <f t="shared" si="3"/>
        <v>6.1259099999999993</v>
      </c>
      <c r="F83" s="638">
        <f t="shared" si="3"/>
        <v>7.9043999999999999</v>
      </c>
      <c r="G83" s="638">
        <f t="shared" si="3"/>
        <v>4.9402499999999998</v>
      </c>
    </row>
    <row r="84" spans="1:7">
      <c r="A84" s="637" t="s">
        <v>302</v>
      </c>
      <c r="B84" s="638">
        <v>28.567</v>
      </c>
      <c r="C84" s="638">
        <f t="shared" si="3"/>
        <v>17.1402</v>
      </c>
      <c r="D84" s="638">
        <f t="shared" si="3"/>
        <v>15.140510000000001</v>
      </c>
      <c r="E84" s="638">
        <f t="shared" si="3"/>
        <v>8.8557699999999997</v>
      </c>
      <c r="F84" s="638">
        <f t="shared" si="3"/>
        <v>11.4268</v>
      </c>
      <c r="G84" s="638">
        <f t="shared" si="3"/>
        <v>7.14175</v>
      </c>
    </row>
    <row r="86" spans="1:7" ht="14.25">
      <c r="A86" s="1238" t="s">
        <v>926</v>
      </c>
      <c r="B86" s="1239"/>
      <c r="C86" s="1239"/>
      <c r="D86" s="1239"/>
      <c r="E86" s="1239"/>
      <c r="F86" s="1239"/>
      <c r="G86" s="1240"/>
    </row>
    <row r="87" spans="1:7">
      <c r="A87" s="859" t="s">
        <v>523</v>
      </c>
      <c r="B87" s="859" t="s">
        <v>483</v>
      </c>
      <c r="C87" s="860" t="s">
        <v>924</v>
      </c>
      <c r="D87" s="859" t="s">
        <v>524</v>
      </c>
      <c r="E87" s="859" t="s">
        <v>525</v>
      </c>
      <c r="F87" s="859" t="s">
        <v>526</v>
      </c>
      <c r="G87" s="859" t="s">
        <v>527</v>
      </c>
    </row>
    <row r="88" spans="1:7">
      <c r="A88" s="861" t="s">
        <v>528</v>
      </c>
      <c r="B88" s="861" t="s">
        <v>576</v>
      </c>
      <c r="C88" s="861" t="s">
        <v>577</v>
      </c>
      <c r="D88" s="861" t="s">
        <v>578</v>
      </c>
      <c r="E88" s="861" t="s">
        <v>579</v>
      </c>
      <c r="F88" s="861" t="s">
        <v>580</v>
      </c>
      <c r="G88" s="861" t="s">
        <v>581</v>
      </c>
    </row>
    <row r="89" spans="1:7">
      <c r="A89" s="860" t="s">
        <v>582</v>
      </c>
      <c r="B89" s="862">
        <v>0.30399999999999999</v>
      </c>
      <c r="C89" s="862">
        <f t="shared" ref="C89:G98" si="4">$B89*C$88</f>
        <v>0.18239999999999998</v>
      </c>
      <c r="D89" s="862">
        <f t="shared" si="4"/>
        <v>0.16112000000000001</v>
      </c>
      <c r="E89" s="862">
        <f t="shared" si="4"/>
        <v>9.423999999999999E-2</v>
      </c>
      <c r="F89" s="862">
        <f t="shared" si="4"/>
        <v>0.1216</v>
      </c>
      <c r="G89" s="862">
        <f t="shared" si="4"/>
        <v>7.5999999999999998E-2</v>
      </c>
    </row>
    <row r="90" spans="1:7">
      <c r="A90" s="860" t="s">
        <v>583</v>
      </c>
      <c r="B90" s="862">
        <v>0.53300000000000003</v>
      </c>
      <c r="C90" s="862">
        <f t="shared" si="4"/>
        <v>0.31980000000000003</v>
      </c>
      <c r="D90" s="862">
        <f t="shared" si="4"/>
        <v>0.28249000000000002</v>
      </c>
      <c r="E90" s="862">
        <f t="shared" si="4"/>
        <v>0.16523000000000002</v>
      </c>
      <c r="F90" s="862">
        <f t="shared" si="4"/>
        <v>0.21320000000000003</v>
      </c>
      <c r="G90" s="862">
        <f t="shared" si="4"/>
        <v>0.13325000000000001</v>
      </c>
    </row>
    <row r="91" spans="1:7">
      <c r="A91" s="860" t="s">
        <v>584</v>
      </c>
      <c r="B91" s="862">
        <v>0.86399999999999999</v>
      </c>
      <c r="C91" s="862">
        <f t="shared" si="4"/>
        <v>0.51839999999999997</v>
      </c>
      <c r="D91" s="862">
        <f t="shared" si="4"/>
        <v>0.45791999999999999</v>
      </c>
      <c r="E91" s="862">
        <f t="shared" si="4"/>
        <v>0.26784000000000002</v>
      </c>
      <c r="F91" s="862">
        <f t="shared" si="4"/>
        <v>0.34560000000000002</v>
      </c>
      <c r="G91" s="862">
        <f t="shared" si="4"/>
        <v>0.216</v>
      </c>
    </row>
    <row r="92" spans="1:7">
      <c r="A92" s="860" t="s">
        <v>585</v>
      </c>
      <c r="B92" s="862">
        <v>1.496</v>
      </c>
      <c r="C92" s="862">
        <f t="shared" si="4"/>
        <v>0.89759999999999995</v>
      </c>
      <c r="D92" s="862">
        <f t="shared" si="4"/>
        <v>0.79288000000000003</v>
      </c>
      <c r="E92" s="862">
        <f t="shared" si="4"/>
        <v>0.46376000000000001</v>
      </c>
      <c r="F92" s="862">
        <f t="shared" si="4"/>
        <v>0.59840000000000004</v>
      </c>
      <c r="G92" s="862">
        <f t="shared" si="4"/>
        <v>0.374</v>
      </c>
    </row>
    <row r="93" spans="1:7">
      <c r="A93" s="860" t="s">
        <v>586</v>
      </c>
      <c r="B93" s="862">
        <v>2.036</v>
      </c>
      <c r="C93" s="862">
        <f t="shared" si="4"/>
        <v>1.2216</v>
      </c>
      <c r="D93" s="862">
        <f t="shared" si="4"/>
        <v>1.07908</v>
      </c>
      <c r="E93" s="862">
        <f t="shared" si="4"/>
        <v>0.63116000000000005</v>
      </c>
      <c r="F93" s="862">
        <f t="shared" si="4"/>
        <v>0.81440000000000001</v>
      </c>
      <c r="G93" s="862">
        <f t="shared" si="4"/>
        <v>0.50900000000000001</v>
      </c>
    </row>
    <row r="94" spans="1:7">
      <c r="A94" s="860" t="s">
        <v>587</v>
      </c>
      <c r="B94" s="862">
        <v>3.3559999999999999</v>
      </c>
      <c r="C94" s="862">
        <f t="shared" si="4"/>
        <v>2.0135999999999998</v>
      </c>
      <c r="D94" s="862">
        <f t="shared" si="4"/>
        <v>1.77868</v>
      </c>
      <c r="E94" s="862">
        <f t="shared" si="4"/>
        <v>1.04036</v>
      </c>
      <c r="F94" s="862">
        <f t="shared" si="4"/>
        <v>1.3424</v>
      </c>
      <c r="G94" s="862">
        <f t="shared" si="4"/>
        <v>0.83899999999999997</v>
      </c>
    </row>
    <row r="95" spans="1:7">
      <c r="A95" s="860" t="s">
        <v>588</v>
      </c>
      <c r="B95" s="862">
        <v>5.8579999999999997</v>
      </c>
      <c r="C95" s="862">
        <f t="shared" si="4"/>
        <v>3.5147999999999997</v>
      </c>
      <c r="D95" s="862">
        <f t="shared" si="4"/>
        <v>3.1047400000000001</v>
      </c>
      <c r="E95" s="862">
        <f t="shared" si="4"/>
        <v>1.8159799999999999</v>
      </c>
      <c r="F95" s="862">
        <f t="shared" si="4"/>
        <v>2.3431999999999999</v>
      </c>
      <c r="G95" s="862">
        <f t="shared" si="4"/>
        <v>1.4644999999999999</v>
      </c>
    </row>
    <row r="96" spans="1:7">
      <c r="A96" s="860" t="s">
        <v>589</v>
      </c>
      <c r="B96" s="862">
        <v>8.8460000000000001</v>
      </c>
      <c r="C96" s="862">
        <f t="shared" si="4"/>
        <v>5.3075999999999999</v>
      </c>
      <c r="D96" s="862">
        <f t="shared" si="4"/>
        <v>4.6883800000000004</v>
      </c>
      <c r="E96" s="862">
        <f t="shared" si="4"/>
        <v>2.7422599999999999</v>
      </c>
      <c r="F96" s="862">
        <f t="shared" si="4"/>
        <v>3.5384000000000002</v>
      </c>
      <c r="G96" s="862">
        <f t="shared" si="4"/>
        <v>2.2115</v>
      </c>
    </row>
    <row r="97" spans="1:7">
      <c r="A97" s="860" t="s">
        <v>590</v>
      </c>
      <c r="B97" s="862">
        <v>11.545</v>
      </c>
      <c r="C97" s="862">
        <f t="shared" si="4"/>
        <v>6.9269999999999996</v>
      </c>
      <c r="D97" s="862">
        <f t="shared" si="4"/>
        <v>6.1188500000000001</v>
      </c>
      <c r="E97" s="862">
        <f t="shared" si="4"/>
        <v>3.5789499999999999</v>
      </c>
      <c r="F97" s="862">
        <f t="shared" si="4"/>
        <v>4.6180000000000003</v>
      </c>
      <c r="G97" s="862">
        <f t="shared" si="4"/>
        <v>2.88625</v>
      </c>
    </row>
    <row r="98" spans="1:7">
      <c r="A98" s="860" t="s">
        <v>301</v>
      </c>
      <c r="B98" s="862">
        <v>14.753</v>
      </c>
      <c r="C98" s="862">
        <f t="shared" si="4"/>
        <v>8.851799999999999</v>
      </c>
      <c r="D98" s="862">
        <f t="shared" si="4"/>
        <v>7.8190900000000001</v>
      </c>
      <c r="E98" s="862">
        <f t="shared" si="4"/>
        <v>4.5734300000000001</v>
      </c>
      <c r="F98" s="862">
        <f t="shared" si="4"/>
        <v>5.9012000000000002</v>
      </c>
      <c r="G98" s="862">
        <f t="shared" si="4"/>
        <v>3.68825</v>
      </c>
    </row>
    <row r="100" spans="1:7" ht="14.25">
      <c r="A100" s="1237" t="s">
        <v>927</v>
      </c>
      <c r="B100" s="1237"/>
      <c r="C100" s="1237"/>
      <c r="D100" s="1237"/>
      <c r="E100" s="1237"/>
      <c r="F100" s="1237"/>
      <c r="G100" s="1237"/>
    </row>
    <row r="101" spans="1:7">
      <c r="A101" s="636" t="s">
        <v>523</v>
      </c>
      <c r="B101" s="636" t="s">
        <v>483</v>
      </c>
      <c r="C101" s="636" t="s">
        <v>924</v>
      </c>
      <c r="D101" s="636" t="s">
        <v>524</v>
      </c>
      <c r="E101" s="636" t="s">
        <v>525</v>
      </c>
      <c r="F101" s="636" t="s">
        <v>526</v>
      </c>
      <c r="G101" s="636" t="s">
        <v>527</v>
      </c>
    </row>
    <row r="102" spans="1:7">
      <c r="A102" s="636" t="s">
        <v>528</v>
      </c>
      <c r="B102" s="636" t="s">
        <v>576</v>
      </c>
      <c r="C102" s="636" t="s">
        <v>577</v>
      </c>
      <c r="D102" s="636" t="s">
        <v>578</v>
      </c>
      <c r="E102" s="636" t="s">
        <v>579</v>
      </c>
      <c r="F102" s="636" t="s">
        <v>580</v>
      </c>
      <c r="G102" s="636" t="s">
        <v>581</v>
      </c>
    </row>
    <row r="103" spans="1:7">
      <c r="A103" s="637" t="s">
        <v>582</v>
      </c>
      <c r="B103" s="638">
        <v>0.314</v>
      </c>
      <c r="C103" s="638">
        <f t="shared" ref="C103:G112" si="5">$B103*C$102</f>
        <v>0.18839999999999998</v>
      </c>
      <c r="D103" s="638">
        <f t="shared" si="5"/>
        <v>0.16642000000000001</v>
      </c>
      <c r="E103" s="638">
        <f t="shared" si="5"/>
        <v>9.7339999999999996E-2</v>
      </c>
      <c r="F103" s="638">
        <f t="shared" si="5"/>
        <v>0.12560000000000002</v>
      </c>
      <c r="G103" s="638">
        <f t="shared" si="5"/>
        <v>7.85E-2</v>
      </c>
    </row>
    <row r="104" spans="1:7">
      <c r="A104" s="637" t="s">
        <v>583</v>
      </c>
      <c r="B104" s="638">
        <v>0.54100000000000004</v>
      </c>
      <c r="C104" s="638">
        <f t="shared" si="5"/>
        <v>0.3246</v>
      </c>
      <c r="D104" s="638">
        <f t="shared" si="5"/>
        <v>0.28673000000000004</v>
      </c>
      <c r="E104" s="638">
        <f t="shared" si="5"/>
        <v>0.16771</v>
      </c>
      <c r="F104" s="638">
        <f t="shared" si="5"/>
        <v>0.21640000000000004</v>
      </c>
      <c r="G104" s="638">
        <f t="shared" si="5"/>
        <v>0.13525000000000001</v>
      </c>
    </row>
    <row r="105" spans="1:7">
      <c r="A105" s="637" t="s">
        <v>584</v>
      </c>
      <c r="B105" s="638">
        <v>0.873</v>
      </c>
      <c r="C105" s="638">
        <f t="shared" si="5"/>
        <v>0.52379999999999993</v>
      </c>
      <c r="D105" s="638">
        <f t="shared" si="5"/>
        <v>0.46269000000000005</v>
      </c>
      <c r="E105" s="638">
        <f t="shared" si="5"/>
        <v>0.27062999999999998</v>
      </c>
      <c r="F105" s="638">
        <f t="shared" si="5"/>
        <v>0.34920000000000001</v>
      </c>
      <c r="G105" s="638">
        <f t="shared" si="5"/>
        <v>0.21825</v>
      </c>
    </row>
    <row r="106" spans="1:7">
      <c r="A106" s="637" t="s">
        <v>585</v>
      </c>
      <c r="B106" s="638">
        <v>1.528</v>
      </c>
      <c r="C106" s="638">
        <f t="shared" si="5"/>
        <v>0.91679999999999995</v>
      </c>
      <c r="D106" s="638">
        <f t="shared" si="5"/>
        <v>0.80984</v>
      </c>
      <c r="E106" s="638">
        <f t="shared" si="5"/>
        <v>0.47367999999999999</v>
      </c>
      <c r="F106" s="638">
        <f t="shared" si="5"/>
        <v>0.61120000000000008</v>
      </c>
      <c r="G106" s="638">
        <f t="shared" si="5"/>
        <v>0.38200000000000001</v>
      </c>
    </row>
    <row r="107" spans="1:7">
      <c r="A107" s="637" t="s">
        <v>586</v>
      </c>
      <c r="B107" s="638">
        <v>1.9810000000000001</v>
      </c>
      <c r="C107" s="638">
        <f t="shared" si="5"/>
        <v>1.1886000000000001</v>
      </c>
      <c r="D107" s="638">
        <f t="shared" si="5"/>
        <v>1.04993</v>
      </c>
      <c r="E107" s="638">
        <f t="shared" si="5"/>
        <v>0.61411000000000004</v>
      </c>
      <c r="F107" s="638">
        <f t="shared" si="5"/>
        <v>0.7924000000000001</v>
      </c>
      <c r="G107" s="638">
        <f t="shared" si="5"/>
        <v>0.49525000000000002</v>
      </c>
    </row>
    <row r="108" spans="1:7">
      <c r="A108" s="637" t="s">
        <v>587</v>
      </c>
      <c r="B108" s="638">
        <v>3.246</v>
      </c>
      <c r="C108" s="638">
        <f t="shared" si="5"/>
        <v>1.9476</v>
      </c>
      <c r="D108" s="638">
        <f t="shared" si="5"/>
        <v>1.72038</v>
      </c>
      <c r="E108" s="638">
        <f t="shared" si="5"/>
        <v>1.0062599999999999</v>
      </c>
      <c r="F108" s="638">
        <f t="shared" si="5"/>
        <v>1.2984</v>
      </c>
      <c r="G108" s="638">
        <f t="shared" si="5"/>
        <v>0.8115</v>
      </c>
    </row>
    <row r="109" spans="1:7">
      <c r="A109" s="637" t="s">
        <v>588</v>
      </c>
      <c r="B109" s="638">
        <v>4.8810000000000002</v>
      </c>
      <c r="C109" s="638">
        <f t="shared" si="5"/>
        <v>2.9285999999999999</v>
      </c>
      <c r="D109" s="638">
        <f t="shared" si="5"/>
        <v>2.5869300000000002</v>
      </c>
      <c r="E109" s="638">
        <f t="shared" si="5"/>
        <v>1.51311</v>
      </c>
      <c r="F109" s="638">
        <f t="shared" si="5"/>
        <v>1.9524000000000001</v>
      </c>
      <c r="G109" s="638">
        <f t="shared" si="5"/>
        <v>1.2202500000000001</v>
      </c>
    </row>
    <row r="110" spans="1:7">
      <c r="A110" s="637" t="s">
        <v>589</v>
      </c>
      <c r="B110" s="638">
        <v>7.4749999999999996</v>
      </c>
      <c r="C110" s="638">
        <f t="shared" si="5"/>
        <v>4.4849999999999994</v>
      </c>
      <c r="D110" s="638">
        <f t="shared" si="5"/>
        <v>3.9617499999999999</v>
      </c>
      <c r="E110" s="638">
        <f t="shared" si="5"/>
        <v>2.31725</v>
      </c>
      <c r="F110" s="638">
        <f t="shared" si="5"/>
        <v>2.99</v>
      </c>
      <c r="G110" s="638">
        <f t="shared" si="5"/>
        <v>1.8687499999999999</v>
      </c>
    </row>
    <row r="111" spans="1:7">
      <c r="A111" s="637" t="s">
        <v>590</v>
      </c>
      <c r="B111" s="638">
        <v>9.7309999999999999</v>
      </c>
      <c r="C111" s="638">
        <f t="shared" si="5"/>
        <v>5.8385999999999996</v>
      </c>
      <c r="D111" s="638">
        <f t="shared" si="5"/>
        <v>5.1574300000000006</v>
      </c>
      <c r="E111" s="638">
        <f t="shared" si="5"/>
        <v>3.01661</v>
      </c>
      <c r="F111" s="638">
        <f t="shared" si="5"/>
        <v>3.8924000000000003</v>
      </c>
      <c r="G111" s="638">
        <f t="shared" si="5"/>
        <v>2.43275</v>
      </c>
    </row>
    <row r="112" spans="1:7">
      <c r="A112" s="637" t="s">
        <v>301</v>
      </c>
      <c r="B112" s="638">
        <v>12.692</v>
      </c>
      <c r="C112" s="638">
        <f t="shared" si="5"/>
        <v>7.6151999999999997</v>
      </c>
      <c r="D112" s="638">
        <f t="shared" si="5"/>
        <v>6.7267600000000005</v>
      </c>
      <c r="E112" s="638">
        <f t="shared" si="5"/>
        <v>3.93452</v>
      </c>
      <c r="F112" s="638">
        <f t="shared" si="5"/>
        <v>5.0768000000000004</v>
      </c>
      <c r="G112" s="638">
        <f t="shared" si="5"/>
        <v>3.173</v>
      </c>
    </row>
    <row r="114" spans="1:6">
      <c r="A114" s="834" t="s">
        <v>666</v>
      </c>
      <c r="B114" s="368"/>
      <c r="C114" s="368"/>
      <c r="D114" s="368"/>
      <c r="E114" s="368"/>
      <c r="F114" s="368"/>
    </row>
    <row r="115" spans="1:6">
      <c r="A115" s="293" t="s">
        <v>762</v>
      </c>
      <c r="B115" s="368"/>
      <c r="C115" s="368"/>
      <c r="D115" s="368"/>
      <c r="E115" s="368"/>
      <c r="F115" s="368"/>
    </row>
    <row r="116" spans="1:6">
      <c r="A116" s="293" t="s">
        <v>763</v>
      </c>
      <c r="B116" s="368"/>
      <c r="C116" s="368"/>
      <c r="D116" s="368"/>
      <c r="E116" s="368"/>
      <c r="F116" s="368"/>
    </row>
    <row r="117" spans="1:6">
      <c r="A117" s="834" t="s">
        <v>788</v>
      </c>
      <c r="B117" s="368"/>
      <c r="C117" s="368"/>
      <c r="D117" s="368"/>
      <c r="E117" s="368"/>
      <c r="F117" s="368"/>
    </row>
    <row r="118" spans="1:6">
      <c r="A118" s="834" t="s">
        <v>3</v>
      </c>
      <c r="B118" s="368"/>
      <c r="C118" s="368"/>
      <c r="D118" s="368"/>
      <c r="E118" s="368"/>
      <c r="F118" s="368"/>
    </row>
  </sheetData>
  <sheetProtection algorithmName="SHA-512" hashValue="oEDAHeUoPbLGeve1vk3gQm5CKoXNw0b6Ql7X163YygJyUI8T9CRYoegeUvgymysnpdV2GyHEvqY3SckDGbJ+QQ==" saltValue="iB5px69L9fmOgyGsPUE/Gg==" spinCount="100000" sheet="1" objects="1" scenarios="1"/>
  <mergeCells count="4">
    <mergeCell ref="A54:G54"/>
    <mergeCell ref="A70:G70"/>
    <mergeCell ref="A86:G86"/>
    <mergeCell ref="A100:G100"/>
  </mergeCells>
  <conditionalFormatting sqref="C57:G68">
    <cfRule type="cellIs" dxfId="7" priority="7" operator="lessThan">
      <formula>$E$40</formula>
    </cfRule>
    <cfRule type="cellIs" dxfId="6" priority="8" operator="greaterThan">
      <formula>$E$40</formula>
    </cfRule>
  </conditionalFormatting>
  <conditionalFormatting sqref="C73:G84">
    <cfRule type="cellIs" dxfId="5" priority="5" operator="lessThan">
      <formula>$E$40</formula>
    </cfRule>
    <cfRule type="cellIs" dxfId="4" priority="6" operator="greaterThan">
      <formula>$E$40</formula>
    </cfRule>
  </conditionalFormatting>
  <conditionalFormatting sqref="C103:G112">
    <cfRule type="cellIs" dxfId="3" priority="1" operator="lessThan">
      <formula>$E$40</formula>
    </cfRule>
    <cfRule type="cellIs" dxfId="2" priority="2" operator="greaterThan">
      <formula>$E$40</formula>
    </cfRule>
  </conditionalFormatting>
  <conditionalFormatting sqref="C89:G98">
    <cfRule type="cellIs" dxfId="1" priority="3" operator="lessThan">
      <formula>$E$40</formula>
    </cfRule>
    <cfRule type="cellIs" dxfId="0" priority="4" operator="greaterThan">
      <formula>$E$40</formula>
    </cfRule>
  </conditionalFormatting>
  <pageMargins left="0.7" right="0.7" top="0.75" bottom="0.75" header="0.3" footer="0.3"/>
  <pageSetup scale="80" fitToHeight="2" orientation="portrait" horizontalDpi="1200" verticalDpi="1200" r:id="rId1"/>
  <rowBreaks count="1" manualBreakCount="1">
    <brk id="52" max="1638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X60"/>
  <sheetViews>
    <sheetView zoomScaleNormal="100" workbookViewId="0">
      <selection activeCell="C10" sqref="C10"/>
    </sheetView>
  </sheetViews>
  <sheetFormatPr defaultColWidth="9.140625" defaultRowHeight="12.75"/>
  <cols>
    <col min="1" max="1" width="9.42578125" style="250" customWidth="1"/>
    <col min="2" max="2" width="28.140625" style="250" customWidth="1"/>
    <col min="3" max="3" width="19.85546875" style="250" bestFit="1" customWidth="1"/>
    <col min="4" max="4" width="10.5703125" style="250" customWidth="1"/>
    <col min="5" max="5" width="6.42578125" style="184" bestFit="1" customWidth="1"/>
    <col min="6" max="6" width="9.7109375" style="184" customWidth="1"/>
    <col min="7" max="7" width="6.7109375" style="184" customWidth="1"/>
    <col min="8" max="8" width="6.7109375" style="477" customWidth="1"/>
    <col min="9" max="9" width="10.7109375" style="477" customWidth="1"/>
    <col min="10" max="10" width="2.5703125" style="250" customWidth="1"/>
    <col min="11" max="18" width="13.42578125" style="250" customWidth="1"/>
    <col min="19" max="19" width="3.7109375" style="250" customWidth="1"/>
    <col min="20" max="20" width="15.28515625" style="249" customWidth="1"/>
    <col min="21" max="23" width="15.28515625" style="250" customWidth="1"/>
    <col min="24" max="16384" width="9.140625" style="250"/>
  </cols>
  <sheetData>
    <row r="1" spans="1:24">
      <c r="A1" s="482" t="s">
        <v>1160</v>
      </c>
      <c r="I1" s="929">
        <v>42694</v>
      </c>
      <c r="M1" s="482"/>
      <c r="N1" s="482"/>
      <c r="O1" s="482"/>
      <c r="P1" s="920" t="s">
        <v>662</v>
      </c>
      <c r="Q1" s="923">
        <v>0.5</v>
      </c>
    </row>
    <row r="2" spans="1:24">
      <c r="A2" s="250" t="s">
        <v>1153</v>
      </c>
      <c r="M2" s="482"/>
      <c r="N2" s="482"/>
      <c r="O2" s="482"/>
      <c r="P2" s="924" t="s">
        <v>640</v>
      </c>
      <c r="Q2" s="923">
        <v>0.71</v>
      </c>
      <c r="R2" s="482" t="s">
        <v>388</v>
      </c>
      <c r="T2" s="903" t="s">
        <v>641</v>
      </c>
      <c r="X2" s="904"/>
    </row>
    <row r="3" spans="1:24">
      <c r="M3" s="482"/>
      <c r="N3" s="482"/>
      <c r="O3" s="482"/>
      <c r="P3" s="924" t="s">
        <v>663</v>
      </c>
      <c r="Q3" s="506">
        <f>Q1*Q2</f>
        <v>0.35499999999999998</v>
      </c>
      <c r="R3" s="482"/>
      <c r="T3" s="903"/>
      <c r="X3" s="905"/>
    </row>
    <row r="4" spans="1:24" s="482" customFormat="1">
      <c r="A4" s="250"/>
      <c r="B4" s="1254" t="s">
        <v>1151</v>
      </c>
      <c r="C4" s="1037" t="s">
        <v>1150</v>
      </c>
      <c r="D4" s="1255" t="s">
        <v>74</v>
      </c>
      <c r="E4" s="1255" t="s">
        <v>1152</v>
      </c>
      <c r="F4" s="1237" t="s">
        <v>985</v>
      </c>
      <c r="G4" s="1252" t="s">
        <v>1166</v>
      </c>
      <c r="H4" s="1237" t="s">
        <v>4</v>
      </c>
      <c r="I4" s="1255" t="s">
        <v>991</v>
      </c>
      <c r="K4" s="250"/>
      <c r="L4" s="250"/>
      <c r="O4" s="250"/>
      <c r="P4" s="250"/>
      <c r="Q4" s="250"/>
      <c r="R4" s="250"/>
      <c r="T4" s="1037" t="s">
        <v>1158</v>
      </c>
      <c r="U4" s="1037" t="s">
        <v>210</v>
      </c>
      <c r="V4" s="250"/>
      <c r="W4" s="250"/>
    </row>
    <row r="5" spans="1:24">
      <c r="A5" s="906" t="s">
        <v>550</v>
      </c>
      <c r="B5" s="1254"/>
      <c r="C5" s="1035" t="s">
        <v>1149</v>
      </c>
      <c r="D5" s="1255"/>
      <c r="E5" s="1255"/>
      <c r="F5" s="1237"/>
      <c r="G5" s="1253"/>
      <c r="H5" s="1237"/>
      <c r="I5" s="1255"/>
      <c r="K5" s="1245" t="str">
        <f>CONCATENATE("Table 310.15(B)(3)(a) Adjusted for Temp. and No. of Conductors in the Conduit by a Mult. of ",Q3)</f>
        <v>Table 310.15(B)(3)(a) Adjusted for Temp. and No. of Conductors in the Conduit by a Mult. of 0.355</v>
      </c>
      <c r="L5" s="1245"/>
      <c r="M5" s="1245"/>
      <c r="N5" s="1245"/>
      <c r="O5" s="1245"/>
      <c r="P5" s="1245"/>
      <c r="Q5" s="1245"/>
      <c r="R5" s="1245"/>
      <c r="T5" s="914" t="s">
        <v>14</v>
      </c>
      <c r="U5" s="915">
        <v>0.8</v>
      </c>
      <c r="V5" s="482"/>
      <c r="W5" s="482"/>
    </row>
    <row r="6" spans="1:24">
      <c r="A6" s="910">
        <v>1</v>
      </c>
      <c r="B6" s="911" t="s">
        <v>1146</v>
      </c>
      <c r="C6" s="1041" t="s">
        <v>1150</v>
      </c>
      <c r="D6" s="923">
        <v>27</v>
      </c>
      <c r="E6" s="480">
        <f>IF(C6="Continuous Load",1.25,1)</f>
        <v>1.25</v>
      </c>
      <c r="F6" s="1048">
        <f>D6*E6</f>
        <v>33.75</v>
      </c>
      <c r="G6" s="1061">
        <v>8</v>
      </c>
      <c r="H6" s="1061">
        <v>4</v>
      </c>
      <c r="I6" s="912">
        <v>3</v>
      </c>
      <c r="K6" s="1037"/>
      <c r="L6" s="1246" t="s">
        <v>10</v>
      </c>
      <c r="M6" s="1246"/>
      <c r="N6" s="1246"/>
      <c r="O6" s="1247" t="s">
        <v>11</v>
      </c>
      <c r="P6" s="1247"/>
      <c r="Q6" s="1247"/>
      <c r="R6" s="902"/>
      <c r="T6" s="916" t="s">
        <v>15</v>
      </c>
      <c r="U6" s="917">
        <v>0.7</v>
      </c>
    </row>
    <row r="7" spans="1:24">
      <c r="A7" s="910">
        <v>2</v>
      </c>
      <c r="B7" s="911" t="s">
        <v>1146</v>
      </c>
      <c r="C7" s="1041" t="s">
        <v>1150</v>
      </c>
      <c r="D7" s="923">
        <v>27</v>
      </c>
      <c r="E7" s="480">
        <f t="shared" ref="E7:E35" si="0">IF(C7="Continuous Load",1.25,1)</f>
        <v>1.25</v>
      </c>
      <c r="F7" s="1048">
        <f t="shared" ref="F7:F35" si="1">D7*E7</f>
        <v>33.75</v>
      </c>
      <c r="G7" s="1061">
        <v>8</v>
      </c>
      <c r="H7" s="1061">
        <v>4</v>
      </c>
      <c r="I7" s="912">
        <v>3</v>
      </c>
      <c r="K7" s="1037" t="s">
        <v>4</v>
      </c>
      <c r="L7" s="1042" t="s">
        <v>636</v>
      </c>
      <c r="M7" s="1042" t="s">
        <v>637</v>
      </c>
      <c r="N7" s="1042" t="s">
        <v>643</v>
      </c>
      <c r="O7" s="1044" t="s">
        <v>636</v>
      </c>
      <c r="P7" s="1044" t="s">
        <v>637</v>
      </c>
      <c r="Q7" s="1044" t="s">
        <v>643</v>
      </c>
      <c r="R7" s="1037" t="s">
        <v>4</v>
      </c>
      <c r="T7" s="914" t="s">
        <v>16</v>
      </c>
      <c r="U7" s="915">
        <v>0.5</v>
      </c>
    </row>
    <row r="8" spans="1:24">
      <c r="A8" s="910">
        <v>3</v>
      </c>
      <c r="B8" s="911" t="s">
        <v>1147</v>
      </c>
      <c r="C8" s="1041" t="s">
        <v>1150</v>
      </c>
      <c r="D8" s="923">
        <v>21</v>
      </c>
      <c r="E8" s="480">
        <f t="shared" si="0"/>
        <v>1.25</v>
      </c>
      <c r="F8" s="1048">
        <f t="shared" si="1"/>
        <v>26.25</v>
      </c>
      <c r="G8" s="1061">
        <v>10</v>
      </c>
      <c r="H8" s="1061">
        <v>6</v>
      </c>
      <c r="I8" s="912">
        <v>3</v>
      </c>
      <c r="K8" s="1040">
        <v>14</v>
      </c>
      <c r="L8" s="1043">
        <f t="shared" ref="L8:N28" si="2">L33*$Q$3</f>
        <v>5.3249999999999993</v>
      </c>
      <c r="M8" s="1043">
        <f t="shared" si="2"/>
        <v>7.1</v>
      </c>
      <c r="N8" s="1043">
        <f t="shared" si="2"/>
        <v>8.875</v>
      </c>
      <c r="O8" s="1045" t="s">
        <v>475</v>
      </c>
      <c r="P8" s="1045" t="s">
        <v>475</v>
      </c>
      <c r="Q8" s="1045" t="s">
        <v>475</v>
      </c>
      <c r="R8" s="1040">
        <v>14</v>
      </c>
      <c r="T8" s="916" t="s">
        <v>17</v>
      </c>
      <c r="U8" s="917">
        <v>0.45</v>
      </c>
    </row>
    <row r="9" spans="1:24">
      <c r="A9" s="910">
        <v>4</v>
      </c>
      <c r="B9" s="911" t="s">
        <v>1147</v>
      </c>
      <c r="C9" s="1041" t="s">
        <v>1150</v>
      </c>
      <c r="D9" s="923">
        <v>21</v>
      </c>
      <c r="E9" s="480">
        <f t="shared" si="0"/>
        <v>1.25</v>
      </c>
      <c r="F9" s="1048">
        <f t="shared" si="1"/>
        <v>26.25</v>
      </c>
      <c r="G9" s="1061">
        <v>10</v>
      </c>
      <c r="H9" s="1061">
        <v>6</v>
      </c>
      <c r="I9" s="912">
        <v>3</v>
      </c>
      <c r="K9" s="1040">
        <v>12</v>
      </c>
      <c r="L9" s="1043">
        <f t="shared" si="2"/>
        <v>7.1</v>
      </c>
      <c r="M9" s="1043">
        <f t="shared" si="2"/>
        <v>8.875</v>
      </c>
      <c r="N9" s="1043">
        <f t="shared" si="2"/>
        <v>10.649999999999999</v>
      </c>
      <c r="O9" s="1046">
        <f t="shared" ref="O9:Q28" si="3">O34*$Q$3</f>
        <v>5.3249999999999993</v>
      </c>
      <c r="P9" s="1046">
        <f t="shared" si="3"/>
        <v>7.1</v>
      </c>
      <c r="Q9" s="1046">
        <f t="shared" si="3"/>
        <v>8.875</v>
      </c>
      <c r="R9" s="1040">
        <v>12</v>
      </c>
      <c r="T9" s="914" t="s">
        <v>19</v>
      </c>
      <c r="U9" s="915">
        <v>0.4</v>
      </c>
    </row>
    <row r="10" spans="1:24">
      <c r="A10" s="910">
        <v>5</v>
      </c>
      <c r="B10" s="911" t="s">
        <v>1148</v>
      </c>
      <c r="C10" s="1041" t="s">
        <v>1150</v>
      </c>
      <c r="D10" s="923">
        <v>14</v>
      </c>
      <c r="E10" s="480">
        <f t="shared" si="0"/>
        <v>1.25</v>
      </c>
      <c r="F10" s="1048">
        <f t="shared" si="1"/>
        <v>17.5</v>
      </c>
      <c r="G10" s="1061">
        <v>12</v>
      </c>
      <c r="H10" s="1061">
        <v>8</v>
      </c>
      <c r="I10" s="912">
        <v>3</v>
      </c>
      <c r="K10" s="1040">
        <v>10</v>
      </c>
      <c r="L10" s="1043">
        <f t="shared" si="2"/>
        <v>10.649999999999999</v>
      </c>
      <c r="M10" s="1043">
        <f t="shared" si="2"/>
        <v>12.424999999999999</v>
      </c>
      <c r="N10" s="1043">
        <f t="shared" si="2"/>
        <v>14.2</v>
      </c>
      <c r="O10" s="1046">
        <f t="shared" si="3"/>
        <v>8.875</v>
      </c>
      <c r="P10" s="1046">
        <f t="shared" si="3"/>
        <v>10.649999999999999</v>
      </c>
      <c r="Q10" s="1046">
        <f t="shared" si="3"/>
        <v>12.424999999999999</v>
      </c>
      <c r="R10" s="1040">
        <v>10</v>
      </c>
      <c r="T10" s="916" t="s">
        <v>644</v>
      </c>
      <c r="U10" s="917">
        <v>0.35</v>
      </c>
    </row>
    <row r="11" spans="1:24">
      <c r="A11" s="910">
        <v>6</v>
      </c>
      <c r="B11" s="911"/>
      <c r="C11" s="1041" t="s">
        <v>1149</v>
      </c>
      <c r="D11" s="923">
        <v>0</v>
      </c>
      <c r="E11" s="480">
        <f t="shared" si="0"/>
        <v>1</v>
      </c>
      <c r="F11" s="1048">
        <f t="shared" si="1"/>
        <v>0</v>
      </c>
      <c r="G11" s="1061" t="s">
        <v>1117</v>
      </c>
      <c r="H11" s="1061" t="s">
        <v>1117</v>
      </c>
      <c r="I11" s="912">
        <v>0</v>
      </c>
      <c r="K11" s="1040">
        <v>8</v>
      </c>
      <c r="L11" s="1043">
        <f t="shared" si="2"/>
        <v>14.2</v>
      </c>
      <c r="M11" s="1043">
        <f t="shared" si="2"/>
        <v>17.75</v>
      </c>
      <c r="N11" s="1043">
        <f t="shared" si="2"/>
        <v>19.524999999999999</v>
      </c>
      <c r="O11" s="1046">
        <f t="shared" si="3"/>
        <v>12.424999999999999</v>
      </c>
      <c r="P11" s="1046">
        <f t="shared" si="3"/>
        <v>14.2</v>
      </c>
      <c r="Q11" s="1046">
        <f t="shared" si="3"/>
        <v>15.975</v>
      </c>
      <c r="R11" s="1040">
        <v>8</v>
      </c>
    </row>
    <row r="12" spans="1:24">
      <c r="A12" s="910">
        <v>7</v>
      </c>
      <c r="B12" s="911"/>
      <c r="C12" s="1041" t="s">
        <v>1149</v>
      </c>
      <c r="D12" s="923">
        <v>0</v>
      </c>
      <c r="E12" s="480">
        <f t="shared" si="0"/>
        <v>1</v>
      </c>
      <c r="F12" s="1048">
        <f t="shared" si="1"/>
        <v>0</v>
      </c>
      <c r="G12" s="1061" t="s">
        <v>1117</v>
      </c>
      <c r="H12" s="1061" t="s">
        <v>1117</v>
      </c>
      <c r="I12" s="912">
        <v>0</v>
      </c>
      <c r="K12" s="1040">
        <v>6</v>
      </c>
      <c r="L12" s="1043">
        <f t="shared" si="2"/>
        <v>19.524999999999999</v>
      </c>
      <c r="M12" s="1043">
        <f t="shared" si="2"/>
        <v>23.074999999999999</v>
      </c>
      <c r="N12" s="1043">
        <f t="shared" si="2"/>
        <v>26.625</v>
      </c>
      <c r="O12" s="1046">
        <f t="shared" si="3"/>
        <v>14.2</v>
      </c>
      <c r="P12" s="1046">
        <f t="shared" si="3"/>
        <v>17.75</v>
      </c>
      <c r="Q12" s="1046">
        <f t="shared" si="3"/>
        <v>19.524999999999999</v>
      </c>
      <c r="R12" s="1040">
        <v>6</v>
      </c>
    </row>
    <row r="13" spans="1:24">
      <c r="A13" s="910">
        <v>8</v>
      </c>
      <c r="B13" s="911"/>
      <c r="C13" s="1041" t="s">
        <v>1149</v>
      </c>
      <c r="D13" s="923">
        <v>0</v>
      </c>
      <c r="E13" s="480">
        <f t="shared" si="0"/>
        <v>1</v>
      </c>
      <c r="F13" s="1048">
        <f t="shared" si="1"/>
        <v>0</v>
      </c>
      <c r="G13" s="1061" t="s">
        <v>1117</v>
      </c>
      <c r="H13" s="1061" t="s">
        <v>1117</v>
      </c>
      <c r="I13" s="912">
        <v>0</v>
      </c>
      <c r="K13" s="1040">
        <v>4</v>
      </c>
      <c r="L13" s="1043">
        <f t="shared" si="2"/>
        <v>24.849999999999998</v>
      </c>
      <c r="M13" s="1043">
        <f t="shared" si="2"/>
        <v>30.174999999999997</v>
      </c>
      <c r="N13" s="1043">
        <f t="shared" si="2"/>
        <v>33.725000000000001</v>
      </c>
      <c r="O13" s="1046">
        <f t="shared" si="3"/>
        <v>19.524999999999999</v>
      </c>
      <c r="P13" s="1046">
        <f t="shared" si="3"/>
        <v>23.074999999999999</v>
      </c>
      <c r="Q13" s="1046">
        <f t="shared" si="3"/>
        <v>26.625</v>
      </c>
      <c r="R13" s="1040">
        <v>4</v>
      </c>
      <c r="T13" s="616" t="s">
        <v>640</v>
      </c>
    </row>
    <row r="14" spans="1:24">
      <c r="A14" s="910">
        <v>9</v>
      </c>
      <c r="B14" s="911"/>
      <c r="C14" s="1041" t="s">
        <v>1149</v>
      </c>
      <c r="D14" s="923">
        <v>0</v>
      </c>
      <c r="E14" s="480">
        <f t="shared" si="0"/>
        <v>1</v>
      </c>
      <c r="F14" s="1048">
        <f t="shared" si="1"/>
        <v>0</v>
      </c>
      <c r="G14" s="1061" t="s">
        <v>1117</v>
      </c>
      <c r="H14" s="1061" t="s">
        <v>1117</v>
      </c>
      <c r="I14" s="912">
        <v>0</v>
      </c>
      <c r="K14" s="1040">
        <v>3</v>
      </c>
      <c r="L14" s="1043">
        <f t="shared" si="2"/>
        <v>30.174999999999997</v>
      </c>
      <c r="M14" s="1043">
        <f t="shared" si="2"/>
        <v>35.5</v>
      </c>
      <c r="N14" s="1043">
        <f t="shared" si="2"/>
        <v>40.824999999999996</v>
      </c>
      <c r="O14" s="1046">
        <f t="shared" si="3"/>
        <v>23.074999999999999</v>
      </c>
      <c r="P14" s="1046">
        <f t="shared" si="3"/>
        <v>26.625</v>
      </c>
      <c r="Q14" s="1046">
        <f t="shared" si="3"/>
        <v>30.174999999999997</v>
      </c>
      <c r="R14" s="1040">
        <v>3</v>
      </c>
    </row>
    <row r="15" spans="1:24">
      <c r="A15" s="910">
        <v>10</v>
      </c>
      <c r="B15" s="911"/>
      <c r="C15" s="1041" t="s">
        <v>1149</v>
      </c>
      <c r="D15" s="923">
        <v>0</v>
      </c>
      <c r="E15" s="480">
        <f t="shared" si="0"/>
        <v>1</v>
      </c>
      <c r="F15" s="1048">
        <f t="shared" si="1"/>
        <v>0</v>
      </c>
      <c r="G15" s="1061" t="s">
        <v>1117</v>
      </c>
      <c r="H15" s="1061" t="s">
        <v>1117</v>
      </c>
      <c r="I15" s="912">
        <v>0</v>
      </c>
      <c r="K15" s="1040">
        <v>2</v>
      </c>
      <c r="L15" s="1043">
        <f t="shared" si="2"/>
        <v>33.725000000000001</v>
      </c>
      <c r="M15" s="1043">
        <f t="shared" si="2"/>
        <v>40.824999999999996</v>
      </c>
      <c r="N15" s="1043">
        <f t="shared" si="2"/>
        <v>46.15</v>
      </c>
      <c r="O15" s="1046">
        <f t="shared" si="3"/>
        <v>26.625</v>
      </c>
      <c r="P15" s="1046">
        <f t="shared" si="3"/>
        <v>31.95</v>
      </c>
      <c r="Q15" s="1046">
        <f t="shared" si="3"/>
        <v>35.5</v>
      </c>
      <c r="R15" s="1040">
        <v>2</v>
      </c>
      <c r="T15" s="907" t="s">
        <v>645</v>
      </c>
      <c r="U15" s="907" t="s">
        <v>636</v>
      </c>
      <c r="V15" s="907" t="s">
        <v>637</v>
      </c>
      <c r="W15" s="907" t="s">
        <v>643</v>
      </c>
    </row>
    <row r="16" spans="1:24">
      <c r="A16" s="910">
        <v>11</v>
      </c>
      <c r="B16" s="911"/>
      <c r="C16" s="1041" t="s">
        <v>1149</v>
      </c>
      <c r="D16" s="923">
        <v>0</v>
      </c>
      <c r="E16" s="480">
        <f t="shared" si="0"/>
        <v>1</v>
      </c>
      <c r="F16" s="1048">
        <f t="shared" si="1"/>
        <v>0</v>
      </c>
      <c r="G16" s="1061" t="s">
        <v>1117</v>
      </c>
      <c r="H16" s="1061" t="s">
        <v>1117</v>
      </c>
      <c r="I16" s="912">
        <v>0</v>
      </c>
      <c r="K16" s="1040">
        <v>1</v>
      </c>
      <c r="L16" s="1043">
        <f t="shared" si="2"/>
        <v>39.049999999999997</v>
      </c>
      <c r="M16" s="1043">
        <f t="shared" si="2"/>
        <v>46.15</v>
      </c>
      <c r="N16" s="1043">
        <f t="shared" si="2"/>
        <v>51.474999999999994</v>
      </c>
      <c r="O16" s="1046">
        <f t="shared" si="3"/>
        <v>30.174999999999997</v>
      </c>
      <c r="P16" s="1046">
        <f t="shared" si="3"/>
        <v>35.5</v>
      </c>
      <c r="Q16" s="1046">
        <f t="shared" si="3"/>
        <v>40.824999999999996</v>
      </c>
      <c r="R16" s="1040">
        <v>1</v>
      </c>
      <c r="T16" s="918" t="s">
        <v>646</v>
      </c>
      <c r="U16" s="915">
        <v>1.29</v>
      </c>
      <c r="V16" s="915">
        <v>1.2</v>
      </c>
      <c r="W16" s="915">
        <v>1.1499999999999999</v>
      </c>
    </row>
    <row r="17" spans="1:23">
      <c r="A17" s="910">
        <v>12</v>
      </c>
      <c r="B17" s="911"/>
      <c r="C17" s="1041" t="s">
        <v>1149</v>
      </c>
      <c r="D17" s="923">
        <v>0</v>
      </c>
      <c r="E17" s="480">
        <f t="shared" si="0"/>
        <v>1</v>
      </c>
      <c r="F17" s="1048">
        <f t="shared" si="1"/>
        <v>0</v>
      </c>
      <c r="G17" s="1061" t="s">
        <v>1117</v>
      </c>
      <c r="H17" s="1061" t="s">
        <v>1117</v>
      </c>
      <c r="I17" s="912">
        <v>0</v>
      </c>
      <c r="K17" s="1040" t="s">
        <v>18</v>
      </c>
      <c r="L17" s="1043">
        <f t="shared" si="2"/>
        <v>44.375</v>
      </c>
      <c r="M17" s="1043">
        <f t="shared" si="2"/>
        <v>53.25</v>
      </c>
      <c r="N17" s="1043">
        <f t="shared" si="2"/>
        <v>60.349999999999994</v>
      </c>
      <c r="O17" s="1046">
        <f t="shared" si="3"/>
        <v>35.5</v>
      </c>
      <c r="P17" s="1046">
        <f t="shared" si="3"/>
        <v>42.599999999999994</v>
      </c>
      <c r="Q17" s="1046">
        <f t="shared" si="3"/>
        <v>47.924999999999997</v>
      </c>
      <c r="R17" s="1040" t="s">
        <v>18</v>
      </c>
      <c r="T17" s="595" t="s">
        <v>647</v>
      </c>
      <c r="U17" s="480">
        <v>1.22</v>
      </c>
      <c r="V17" s="480">
        <v>1.1499999999999999</v>
      </c>
      <c r="W17" s="480">
        <v>1.1200000000000001</v>
      </c>
    </row>
    <row r="18" spans="1:23">
      <c r="A18" s="910">
        <v>13</v>
      </c>
      <c r="B18" s="911"/>
      <c r="C18" s="1041" t="s">
        <v>1149</v>
      </c>
      <c r="D18" s="923">
        <v>0</v>
      </c>
      <c r="E18" s="480">
        <f t="shared" si="0"/>
        <v>1</v>
      </c>
      <c r="F18" s="1048">
        <f t="shared" si="1"/>
        <v>0</v>
      </c>
      <c r="G18" s="1061" t="s">
        <v>1117</v>
      </c>
      <c r="H18" s="1061" t="s">
        <v>1117</v>
      </c>
      <c r="I18" s="912">
        <v>0</v>
      </c>
      <c r="K18" s="1040" t="s">
        <v>20</v>
      </c>
      <c r="L18" s="1043">
        <f t="shared" si="2"/>
        <v>51.474999999999994</v>
      </c>
      <c r="M18" s="1043">
        <f t="shared" si="2"/>
        <v>62.125</v>
      </c>
      <c r="N18" s="1043">
        <f t="shared" si="2"/>
        <v>69.224999999999994</v>
      </c>
      <c r="O18" s="1046">
        <f t="shared" si="3"/>
        <v>40.824999999999996</v>
      </c>
      <c r="P18" s="1046">
        <f t="shared" si="3"/>
        <v>47.924999999999997</v>
      </c>
      <c r="Q18" s="1046">
        <f t="shared" si="3"/>
        <v>53.25</v>
      </c>
      <c r="R18" s="1040" t="s">
        <v>20</v>
      </c>
      <c r="T18" s="918" t="s">
        <v>648</v>
      </c>
      <c r="U18" s="915">
        <v>1.115</v>
      </c>
      <c r="V18" s="915">
        <v>1.1100000000000001</v>
      </c>
      <c r="W18" s="915">
        <v>1.08</v>
      </c>
    </row>
    <row r="19" spans="1:23">
      <c r="A19" s="910">
        <v>14</v>
      </c>
      <c r="B19" s="911"/>
      <c r="C19" s="1041" t="s">
        <v>1149</v>
      </c>
      <c r="D19" s="923">
        <v>0</v>
      </c>
      <c r="E19" s="480">
        <f t="shared" si="0"/>
        <v>1</v>
      </c>
      <c r="F19" s="1048">
        <f t="shared" si="1"/>
        <v>0</v>
      </c>
      <c r="G19" s="1061" t="s">
        <v>1117</v>
      </c>
      <c r="H19" s="1061" t="s">
        <v>1117</v>
      </c>
      <c r="I19" s="912">
        <v>0</v>
      </c>
      <c r="K19" s="1040" t="s">
        <v>22</v>
      </c>
      <c r="L19" s="1043">
        <f t="shared" si="2"/>
        <v>58.574999999999996</v>
      </c>
      <c r="M19" s="1043">
        <f t="shared" si="2"/>
        <v>71</v>
      </c>
      <c r="N19" s="1043">
        <f t="shared" si="2"/>
        <v>79.875</v>
      </c>
      <c r="O19" s="1046">
        <f t="shared" si="3"/>
        <v>46.15</v>
      </c>
      <c r="P19" s="1046">
        <f t="shared" si="3"/>
        <v>55.024999999999999</v>
      </c>
      <c r="Q19" s="1046">
        <f t="shared" si="3"/>
        <v>62.125</v>
      </c>
      <c r="R19" s="1040" t="s">
        <v>22</v>
      </c>
      <c r="T19" s="595" t="s">
        <v>649</v>
      </c>
      <c r="U19" s="480">
        <v>1.08</v>
      </c>
      <c r="V19" s="480">
        <v>1.05</v>
      </c>
      <c r="W19" s="480">
        <v>10.4</v>
      </c>
    </row>
    <row r="20" spans="1:23">
      <c r="A20" s="910">
        <v>15</v>
      </c>
      <c r="B20" s="911"/>
      <c r="C20" s="1041" t="s">
        <v>1149</v>
      </c>
      <c r="D20" s="923">
        <v>0</v>
      </c>
      <c r="E20" s="480">
        <f t="shared" si="0"/>
        <v>1</v>
      </c>
      <c r="F20" s="1048">
        <f t="shared" si="1"/>
        <v>0</v>
      </c>
      <c r="G20" s="1061" t="s">
        <v>1117</v>
      </c>
      <c r="H20" s="1061" t="s">
        <v>1117</v>
      </c>
      <c r="I20" s="912">
        <v>0</v>
      </c>
      <c r="K20" s="1040" t="s">
        <v>23</v>
      </c>
      <c r="L20" s="1043">
        <f t="shared" si="2"/>
        <v>69.224999999999994</v>
      </c>
      <c r="M20" s="1043">
        <f t="shared" si="2"/>
        <v>81.649999999999991</v>
      </c>
      <c r="N20" s="1043">
        <f t="shared" si="2"/>
        <v>92.3</v>
      </c>
      <c r="O20" s="1046">
        <f t="shared" si="3"/>
        <v>53.25</v>
      </c>
      <c r="P20" s="1046">
        <f t="shared" si="3"/>
        <v>63.9</v>
      </c>
      <c r="Q20" s="1046">
        <f t="shared" si="3"/>
        <v>72.774999999999991</v>
      </c>
      <c r="R20" s="1040" t="s">
        <v>23</v>
      </c>
      <c r="T20" s="918" t="s">
        <v>650</v>
      </c>
      <c r="U20" s="915">
        <v>1</v>
      </c>
      <c r="V20" s="915">
        <v>1</v>
      </c>
      <c r="W20" s="915">
        <v>1</v>
      </c>
    </row>
    <row r="21" spans="1:23">
      <c r="A21" s="910">
        <v>16</v>
      </c>
      <c r="B21" s="911"/>
      <c r="C21" s="1041" t="s">
        <v>1149</v>
      </c>
      <c r="D21" s="923">
        <v>0</v>
      </c>
      <c r="E21" s="480">
        <f t="shared" si="0"/>
        <v>1</v>
      </c>
      <c r="F21" s="1048">
        <f t="shared" si="1"/>
        <v>0</v>
      </c>
      <c r="G21" s="1061" t="s">
        <v>1117</v>
      </c>
      <c r="H21" s="1061" t="s">
        <v>1117</v>
      </c>
      <c r="I21" s="912">
        <v>0</v>
      </c>
      <c r="K21" s="1040">
        <v>250</v>
      </c>
      <c r="L21" s="1043">
        <f t="shared" si="2"/>
        <v>76.325000000000003</v>
      </c>
      <c r="M21" s="1043">
        <f t="shared" si="2"/>
        <v>90.524999999999991</v>
      </c>
      <c r="N21" s="1043">
        <f t="shared" si="2"/>
        <v>102.94999999999999</v>
      </c>
      <c r="O21" s="1046">
        <f t="shared" si="3"/>
        <v>60.349999999999994</v>
      </c>
      <c r="P21" s="1046">
        <f t="shared" si="3"/>
        <v>72.774999999999991</v>
      </c>
      <c r="Q21" s="1046">
        <f t="shared" si="3"/>
        <v>81.649999999999991</v>
      </c>
      <c r="R21" s="1040">
        <v>250</v>
      </c>
      <c r="T21" s="595" t="s">
        <v>651</v>
      </c>
      <c r="U21" s="480">
        <v>0.91</v>
      </c>
      <c r="V21" s="480">
        <v>0.94</v>
      </c>
      <c r="W21" s="480">
        <v>0.96</v>
      </c>
    </row>
    <row r="22" spans="1:23">
      <c r="A22" s="910">
        <v>17</v>
      </c>
      <c r="B22" s="911"/>
      <c r="C22" s="1041" t="s">
        <v>1149</v>
      </c>
      <c r="D22" s="923">
        <v>0</v>
      </c>
      <c r="E22" s="480">
        <f t="shared" si="0"/>
        <v>1</v>
      </c>
      <c r="F22" s="1048">
        <f t="shared" si="1"/>
        <v>0</v>
      </c>
      <c r="G22" s="1061" t="s">
        <v>1117</v>
      </c>
      <c r="H22" s="1061" t="s">
        <v>1117</v>
      </c>
      <c r="I22" s="912">
        <v>0</v>
      </c>
      <c r="K22" s="1040">
        <v>300</v>
      </c>
      <c r="L22" s="1043">
        <f t="shared" si="2"/>
        <v>85.199999999999989</v>
      </c>
      <c r="M22" s="1043">
        <f t="shared" si="2"/>
        <v>101.175</v>
      </c>
      <c r="N22" s="1043">
        <f t="shared" si="2"/>
        <v>113.6</v>
      </c>
      <c r="O22" s="1046">
        <f t="shared" si="3"/>
        <v>69.224999999999994</v>
      </c>
      <c r="P22" s="1046">
        <f t="shared" si="3"/>
        <v>81.649999999999991</v>
      </c>
      <c r="Q22" s="1046">
        <f t="shared" si="3"/>
        <v>92.3</v>
      </c>
      <c r="R22" s="1040">
        <v>300</v>
      </c>
      <c r="T22" s="918" t="s">
        <v>652</v>
      </c>
      <c r="U22" s="915">
        <v>0.82</v>
      </c>
      <c r="V22" s="915">
        <v>0.88</v>
      </c>
      <c r="W22" s="915">
        <v>0.91</v>
      </c>
    </row>
    <row r="23" spans="1:23">
      <c r="A23" s="910">
        <v>18</v>
      </c>
      <c r="B23" s="911"/>
      <c r="C23" s="1041" t="s">
        <v>1149</v>
      </c>
      <c r="D23" s="923">
        <v>0</v>
      </c>
      <c r="E23" s="480">
        <f t="shared" si="0"/>
        <v>1</v>
      </c>
      <c r="F23" s="1048">
        <f t="shared" si="1"/>
        <v>0</v>
      </c>
      <c r="G23" s="1061" t="s">
        <v>1117</v>
      </c>
      <c r="H23" s="1061" t="s">
        <v>1117</v>
      </c>
      <c r="I23" s="912">
        <v>0</v>
      </c>
      <c r="K23" s="1040">
        <v>350</v>
      </c>
      <c r="L23" s="1043">
        <f t="shared" si="2"/>
        <v>92.3</v>
      </c>
      <c r="M23" s="1043">
        <f t="shared" si="2"/>
        <v>110.05</v>
      </c>
      <c r="N23" s="1043">
        <f t="shared" si="2"/>
        <v>124.25</v>
      </c>
      <c r="O23" s="1046">
        <f t="shared" si="3"/>
        <v>74.55</v>
      </c>
      <c r="P23" s="1046">
        <f t="shared" si="3"/>
        <v>88.75</v>
      </c>
      <c r="Q23" s="1046">
        <f t="shared" si="3"/>
        <v>99.399999999999991</v>
      </c>
      <c r="R23" s="1040">
        <v>350</v>
      </c>
      <c r="T23" s="595" t="s">
        <v>653</v>
      </c>
      <c r="U23" s="480">
        <v>0.71</v>
      </c>
      <c r="V23" s="480">
        <v>0.82</v>
      </c>
      <c r="W23" s="480">
        <v>0.87</v>
      </c>
    </row>
    <row r="24" spans="1:23">
      <c r="A24" s="910">
        <v>19</v>
      </c>
      <c r="B24" s="911"/>
      <c r="C24" s="1041" t="s">
        <v>1149</v>
      </c>
      <c r="D24" s="923">
        <v>0</v>
      </c>
      <c r="E24" s="480">
        <f t="shared" si="0"/>
        <v>1</v>
      </c>
      <c r="F24" s="1048">
        <f t="shared" si="1"/>
        <v>0</v>
      </c>
      <c r="G24" s="1061" t="s">
        <v>1117</v>
      </c>
      <c r="H24" s="1061" t="s">
        <v>1117</v>
      </c>
      <c r="I24" s="912">
        <v>0</v>
      </c>
      <c r="K24" s="1040">
        <v>400</v>
      </c>
      <c r="L24" s="1043">
        <f t="shared" si="2"/>
        <v>99.399999999999991</v>
      </c>
      <c r="M24" s="1043">
        <f t="shared" si="2"/>
        <v>118.925</v>
      </c>
      <c r="N24" s="1043">
        <f t="shared" si="2"/>
        <v>134.9</v>
      </c>
      <c r="O24" s="1046">
        <f t="shared" si="3"/>
        <v>79.875</v>
      </c>
      <c r="P24" s="1046">
        <f t="shared" si="3"/>
        <v>95.85</v>
      </c>
      <c r="Q24" s="1046">
        <f t="shared" si="3"/>
        <v>108.27499999999999</v>
      </c>
      <c r="R24" s="1040">
        <v>400</v>
      </c>
      <c r="T24" s="918" t="s">
        <v>654</v>
      </c>
      <c r="U24" s="915">
        <v>0.57999999999999996</v>
      </c>
      <c r="V24" s="915">
        <v>0.75</v>
      </c>
      <c r="W24" s="915">
        <v>0.82</v>
      </c>
    </row>
    <row r="25" spans="1:23">
      <c r="A25" s="910">
        <v>20</v>
      </c>
      <c r="B25" s="911"/>
      <c r="C25" s="1041" t="s">
        <v>1149</v>
      </c>
      <c r="D25" s="923">
        <v>0</v>
      </c>
      <c r="E25" s="480">
        <f t="shared" si="0"/>
        <v>1</v>
      </c>
      <c r="F25" s="1048">
        <f t="shared" si="1"/>
        <v>0</v>
      </c>
      <c r="G25" s="1061" t="s">
        <v>1117</v>
      </c>
      <c r="H25" s="1061" t="s">
        <v>1117</v>
      </c>
      <c r="I25" s="912">
        <v>0</v>
      </c>
      <c r="K25" s="1040">
        <v>500</v>
      </c>
      <c r="L25" s="1043">
        <f t="shared" si="2"/>
        <v>113.6</v>
      </c>
      <c r="M25" s="1043">
        <f t="shared" si="2"/>
        <v>134.9</v>
      </c>
      <c r="N25" s="1043">
        <f t="shared" si="2"/>
        <v>152.65</v>
      </c>
      <c r="O25" s="1046">
        <f t="shared" si="3"/>
        <v>92.3</v>
      </c>
      <c r="P25" s="1046">
        <f t="shared" si="3"/>
        <v>110.05</v>
      </c>
      <c r="Q25" s="1046">
        <f t="shared" si="3"/>
        <v>124.25</v>
      </c>
      <c r="R25" s="1040">
        <v>500</v>
      </c>
      <c r="T25" s="595" t="s">
        <v>655</v>
      </c>
      <c r="U25" s="480">
        <v>0.41</v>
      </c>
      <c r="V25" s="480">
        <v>0.67</v>
      </c>
      <c r="W25" s="480">
        <v>0.76</v>
      </c>
    </row>
    <row r="26" spans="1:23">
      <c r="A26" s="910">
        <v>21</v>
      </c>
      <c r="B26" s="911"/>
      <c r="C26" s="1041" t="s">
        <v>1149</v>
      </c>
      <c r="D26" s="923">
        <v>0</v>
      </c>
      <c r="E26" s="480">
        <f t="shared" si="0"/>
        <v>1</v>
      </c>
      <c r="F26" s="1048">
        <f t="shared" si="1"/>
        <v>0</v>
      </c>
      <c r="G26" s="1061" t="s">
        <v>1117</v>
      </c>
      <c r="H26" s="1061" t="s">
        <v>1117</v>
      </c>
      <c r="I26" s="912">
        <v>0</v>
      </c>
      <c r="K26" s="1040">
        <v>600</v>
      </c>
      <c r="L26" s="1043">
        <f t="shared" si="2"/>
        <v>124.25</v>
      </c>
      <c r="M26" s="1043">
        <f t="shared" si="2"/>
        <v>149.1</v>
      </c>
      <c r="N26" s="1043">
        <f t="shared" si="2"/>
        <v>168.625</v>
      </c>
      <c r="O26" s="1046">
        <f t="shared" si="3"/>
        <v>101.175</v>
      </c>
      <c r="P26" s="1046">
        <f t="shared" si="3"/>
        <v>120.69999999999999</v>
      </c>
      <c r="Q26" s="1046">
        <f t="shared" si="3"/>
        <v>136.67499999999998</v>
      </c>
      <c r="R26" s="1040">
        <v>600</v>
      </c>
      <c r="T26" s="918" t="s">
        <v>656</v>
      </c>
      <c r="U26" s="915"/>
      <c r="V26" s="915">
        <v>0.57999999999999996</v>
      </c>
      <c r="W26" s="915">
        <v>0.71</v>
      </c>
    </row>
    <row r="27" spans="1:23">
      <c r="A27" s="910">
        <v>22</v>
      </c>
      <c r="B27" s="911"/>
      <c r="C27" s="1041" t="s">
        <v>1149</v>
      </c>
      <c r="D27" s="923">
        <v>0</v>
      </c>
      <c r="E27" s="480">
        <f t="shared" si="0"/>
        <v>1</v>
      </c>
      <c r="F27" s="1048">
        <f t="shared" si="1"/>
        <v>0</v>
      </c>
      <c r="G27" s="1061" t="s">
        <v>1117</v>
      </c>
      <c r="H27" s="1061" t="s">
        <v>1117</v>
      </c>
      <c r="I27" s="912">
        <v>0</v>
      </c>
      <c r="K27" s="1040">
        <v>700</v>
      </c>
      <c r="L27" s="1043">
        <f t="shared" si="2"/>
        <v>136.67499999999998</v>
      </c>
      <c r="M27" s="1043">
        <f t="shared" si="2"/>
        <v>163.29999999999998</v>
      </c>
      <c r="N27" s="1043">
        <f t="shared" si="2"/>
        <v>184.6</v>
      </c>
      <c r="O27" s="1046">
        <f t="shared" si="3"/>
        <v>111.82499999999999</v>
      </c>
      <c r="P27" s="1046">
        <f t="shared" si="3"/>
        <v>133.125</v>
      </c>
      <c r="Q27" s="1046">
        <f t="shared" si="3"/>
        <v>150.875</v>
      </c>
      <c r="R27" s="1040">
        <v>700</v>
      </c>
      <c r="T27" s="595" t="s">
        <v>657</v>
      </c>
      <c r="U27" s="480"/>
      <c r="V27" s="480">
        <v>0.47</v>
      </c>
      <c r="W27" s="480">
        <v>0.65</v>
      </c>
    </row>
    <row r="28" spans="1:23">
      <c r="A28" s="910">
        <v>23</v>
      </c>
      <c r="B28" s="911"/>
      <c r="C28" s="1041" t="s">
        <v>1149</v>
      </c>
      <c r="D28" s="923">
        <v>0</v>
      </c>
      <c r="E28" s="480">
        <f t="shared" si="0"/>
        <v>1</v>
      </c>
      <c r="F28" s="1048">
        <f t="shared" si="1"/>
        <v>0</v>
      </c>
      <c r="G28" s="1061" t="s">
        <v>1117</v>
      </c>
      <c r="H28" s="1061" t="s">
        <v>1117</v>
      </c>
      <c r="I28" s="912">
        <v>0</v>
      </c>
      <c r="K28" s="1040">
        <v>750</v>
      </c>
      <c r="L28" s="1043">
        <f t="shared" si="2"/>
        <v>142</v>
      </c>
      <c r="M28" s="1043">
        <f t="shared" si="2"/>
        <v>168.625</v>
      </c>
      <c r="N28" s="1043">
        <f t="shared" si="2"/>
        <v>189.92499999999998</v>
      </c>
      <c r="O28" s="1046">
        <f t="shared" si="3"/>
        <v>113.6</v>
      </c>
      <c r="P28" s="1046">
        <f t="shared" si="3"/>
        <v>136.67499999999998</v>
      </c>
      <c r="Q28" s="1046">
        <f t="shared" si="3"/>
        <v>154.42499999999998</v>
      </c>
      <c r="R28" s="1040">
        <v>750</v>
      </c>
      <c r="T28" s="918" t="s">
        <v>658</v>
      </c>
      <c r="U28" s="915"/>
      <c r="V28" s="915">
        <v>0.33</v>
      </c>
      <c r="W28" s="915">
        <v>0.57999999999999996</v>
      </c>
    </row>
    <row r="29" spans="1:23">
      <c r="A29" s="910">
        <v>24</v>
      </c>
      <c r="B29" s="911"/>
      <c r="C29" s="1041" t="s">
        <v>1149</v>
      </c>
      <c r="D29" s="923">
        <v>0</v>
      </c>
      <c r="E29" s="480">
        <f t="shared" si="0"/>
        <v>1</v>
      </c>
      <c r="F29" s="1048">
        <f t="shared" si="1"/>
        <v>0</v>
      </c>
      <c r="G29" s="1061" t="s">
        <v>1117</v>
      </c>
      <c r="H29" s="1061" t="s">
        <v>1117</v>
      </c>
      <c r="I29" s="912">
        <v>0</v>
      </c>
      <c r="K29" s="927"/>
      <c r="L29" s="507"/>
      <c r="M29" s="507"/>
      <c r="N29" s="507"/>
      <c r="O29" s="507"/>
      <c r="P29" s="507"/>
      <c r="Q29" s="507"/>
      <c r="R29" s="927"/>
      <c r="T29" s="595" t="s">
        <v>659</v>
      </c>
      <c r="U29" s="480"/>
      <c r="V29" s="480"/>
      <c r="W29" s="480">
        <v>0.5</v>
      </c>
    </row>
    <row r="30" spans="1:23">
      <c r="A30" s="910">
        <v>25</v>
      </c>
      <c r="B30" s="911"/>
      <c r="C30" s="1041" t="s">
        <v>1149</v>
      </c>
      <c r="D30" s="923">
        <v>0</v>
      </c>
      <c r="E30" s="480">
        <f t="shared" si="0"/>
        <v>1</v>
      </c>
      <c r="F30" s="1048">
        <f t="shared" si="1"/>
        <v>0</v>
      </c>
      <c r="G30" s="1061" t="s">
        <v>1117</v>
      </c>
      <c r="H30" s="1061" t="s">
        <v>1117</v>
      </c>
      <c r="I30" s="912">
        <v>0</v>
      </c>
      <c r="K30" s="1248" t="s">
        <v>1161</v>
      </c>
      <c r="L30" s="1248"/>
      <c r="M30" s="1248"/>
      <c r="N30" s="1248"/>
      <c r="O30" s="1248"/>
      <c r="P30" s="1248"/>
      <c r="Q30" s="1248"/>
      <c r="R30" s="1248"/>
      <c r="T30" s="918" t="s">
        <v>660</v>
      </c>
      <c r="U30" s="915"/>
      <c r="V30" s="915"/>
      <c r="W30" s="915">
        <v>0.41</v>
      </c>
    </row>
    <row r="31" spans="1:23">
      <c r="A31" s="910">
        <v>26</v>
      </c>
      <c r="B31" s="911"/>
      <c r="C31" s="1041" t="s">
        <v>1149</v>
      </c>
      <c r="D31" s="923">
        <v>0</v>
      </c>
      <c r="E31" s="480">
        <f t="shared" si="0"/>
        <v>1</v>
      </c>
      <c r="F31" s="1048">
        <f t="shared" si="1"/>
        <v>0</v>
      </c>
      <c r="G31" s="1061" t="s">
        <v>1117</v>
      </c>
      <c r="H31" s="1061" t="s">
        <v>1117</v>
      </c>
      <c r="I31" s="912">
        <v>0</v>
      </c>
      <c r="K31" s="1037"/>
      <c r="L31" s="1249" t="s">
        <v>10</v>
      </c>
      <c r="M31" s="1249"/>
      <c r="N31" s="1249"/>
      <c r="O31" s="1250" t="s">
        <v>11</v>
      </c>
      <c r="P31" s="1250"/>
      <c r="Q31" s="1250"/>
      <c r="R31" s="902"/>
      <c r="T31" s="595" t="s">
        <v>661</v>
      </c>
      <c r="U31" s="480"/>
      <c r="V31" s="480"/>
      <c r="W31" s="480">
        <v>0.28999999999999998</v>
      </c>
    </row>
    <row r="32" spans="1:23">
      <c r="A32" s="910">
        <v>27</v>
      </c>
      <c r="B32" s="911"/>
      <c r="C32" s="1041" t="s">
        <v>1149</v>
      </c>
      <c r="D32" s="923">
        <v>0</v>
      </c>
      <c r="E32" s="480">
        <f t="shared" si="0"/>
        <v>1</v>
      </c>
      <c r="F32" s="1048">
        <f t="shared" si="1"/>
        <v>0</v>
      </c>
      <c r="G32" s="1061" t="s">
        <v>1117</v>
      </c>
      <c r="H32" s="1061" t="s">
        <v>1117</v>
      </c>
      <c r="I32" s="912">
        <v>0</v>
      </c>
      <c r="K32" s="1037" t="s">
        <v>4</v>
      </c>
      <c r="L32" s="1038" t="s">
        <v>636</v>
      </c>
      <c r="M32" s="1038" t="s">
        <v>637</v>
      </c>
      <c r="N32" s="1038" t="s">
        <v>643</v>
      </c>
      <c r="O32" s="1039" t="s">
        <v>636</v>
      </c>
      <c r="P32" s="1039" t="s">
        <v>637</v>
      </c>
      <c r="Q32" s="1039" t="s">
        <v>643</v>
      </c>
      <c r="R32" s="1037" t="s">
        <v>4</v>
      </c>
      <c r="T32" s="250"/>
    </row>
    <row r="33" spans="1:21">
      <c r="A33" s="910">
        <v>28</v>
      </c>
      <c r="B33" s="911"/>
      <c r="C33" s="1041" t="s">
        <v>1149</v>
      </c>
      <c r="D33" s="923">
        <v>0</v>
      </c>
      <c r="E33" s="480">
        <f t="shared" si="0"/>
        <v>1</v>
      </c>
      <c r="F33" s="1048">
        <f t="shared" si="1"/>
        <v>0</v>
      </c>
      <c r="G33" s="1061" t="s">
        <v>1117</v>
      </c>
      <c r="H33" s="1061" t="s">
        <v>1117</v>
      </c>
      <c r="I33" s="912">
        <v>0</v>
      </c>
      <c r="K33" s="916">
        <v>14</v>
      </c>
      <c r="L33" s="1038">
        <v>15</v>
      </c>
      <c r="M33" s="1038">
        <v>20</v>
      </c>
      <c r="N33" s="1038">
        <v>25</v>
      </c>
      <c r="O33" s="1047" t="s">
        <v>475</v>
      </c>
      <c r="P33" s="1047" t="s">
        <v>475</v>
      </c>
      <c r="Q33" s="1047" t="s">
        <v>475</v>
      </c>
      <c r="R33" s="1040">
        <v>14</v>
      </c>
      <c r="T33" s="250"/>
    </row>
    <row r="34" spans="1:21" ht="12.75" customHeight="1">
      <c r="A34" s="910">
        <v>29</v>
      </c>
      <c r="B34" s="911"/>
      <c r="C34" s="1041" t="s">
        <v>1149</v>
      </c>
      <c r="D34" s="923">
        <v>0</v>
      </c>
      <c r="E34" s="480">
        <f t="shared" si="0"/>
        <v>1</v>
      </c>
      <c r="F34" s="1048">
        <f t="shared" si="1"/>
        <v>0</v>
      </c>
      <c r="G34" s="1061" t="s">
        <v>1117</v>
      </c>
      <c r="H34" s="1061" t="s">
        <v>1117</v>
      </c>
      <c r="I34" s="912">
        <v>0</v>
      </c>
      <c r="K34" s="916">
        <v>12</v>
      </c>
      <c r="L34" s="1038">
        <v>20</v>
      </c>
      <c r="M34" s="1038">
        <v>25</v>
      </c>
      <c r="N34" s="1038">
        <v>30</v>
      </c>
      <c r="O34" s="1039">
        <v>15</v>
      </c>
      <c r="P34" s="1039">
        <v>20</v>
      </c>
      <c r="Q34" s="1039">
        <v>25</v>
      </c>
      <c r="R34" s="1040">
        <v>12</v>
      </c>
      <c r="T34" s="1241" t="s">
        <v>638</v>
      </c>
      <c r="U34" s="1242"/>
    </row>
    <row r="35" spans="1:21" ht="13.5" thickBot="1">
      <c r="A35" s="910">
        <v>30</v>
      </c>
      <c r="B35" s="911"/>
      <c r="C35" s="1041" t="s">
        <v>1149</v>
      </c>
      <c r="D35" s="923">
        <v>0</v>
      </c>
      <c r="E35" s="480">
        <f t="shared" si="0"/>
        <v>1</v>
      </c>
      <c r="F35" s="1048">
        <f t="shared" si="1"/>
        <v>0</v>
      </c>
      <c r="G35" s="1061" t="s">
        <v>1117</v>
      </c>
      <c r="H35" s="1061" t="s">
        <v>1117</v>
      </c>
      <c r="I35" s="919">
        <v>0</v>
      </c>
      <c r="K35" s="916">
        <v>10</v>
      </c>
      <c r="L35" s="1038">
        <v>30</v>
      </c>
      <c r="M35" s="1038">
        <v>35</v>
      </c>
      <c r="N35" s="1038">
        <v>40</v>
      </c>
      <c r="O35" s="1039">
        <v>25</v>
      </c>
      <c r="P35" s="1039">
        <v>30</v>
      </c>
      <c r="Q35" s="1039">
        <v>35</v>
      </c>
      <c r="R35" s="1040">
        <v>10</v>
      </c>
      <c r="T35" s="1243" t="s">
        <v>7</v>
      </c>
      <c r="U35" s="1244"/>
    </row>
    <row r="36" spans="1:21">
      <c r="A36" s="906" t="s">
        <v>35</v>
      </c>
      <c r="D36" s="506"/>
      <c r="E36" s="1059" t="s">
        <v>35</v>
      </c>
      <c r="F36" s="1050"/>
      <c r="G36" s="1050"/>
      <c r="I36" s="1054">
        <f>SUM(I6:I35)</f>
        <v>15</v>
      </c>
      <c r="K36" s="916">
        <v>8</v>
      </c>
      <c r="L36" s="1038">
        <v>40</v>
      </c>
      <c r="M36" s="1038">
        <v>50</v>
      </c>
      <c r="N36" s="1038">
        <v>55</v>
      </c>
      <c r="O36" s="1039">
        <v>35</v>
      </c>
      <c r="P36" s="1039">
        <v>40</v>
      </c>
      <c r="Q36" s="1039">
        <v>45</v>
      </c>
      <c r="R36" s="1040">
        <v>8</v>
      </c>
      <c r="T36" s="298">
        <v>1</v>
      </c>
      <c r="U36" s="298">
        <v>175</v>
      </c>
    </row>
    <row r="37" spans="1:21" ht="13.5" thickBot="1">
      <c r="A37" s="906"/>
      <c r="D37" s="1059"/>
      <c r="E37" s="1059"/>
      <c r="F37" s="1059"/>
      <c r="G37" s="1059"/>
      <c r="I37" s="1055" t="s">
        <v>793</v>
      </c>
      <c r="K37" s="916">
        <v>6</v>
      </c>
      <c r="L37" s="1038">
        <v>55</v>
      </c>
      <c r="M37" s="1038">
        <v>65</v>
      </c>
      <c r="N37" s="1038">
        <v>75</v>
      </c>
      <c r="O37" s="1039">
        <v>40</v>
      </c>
      <c r="P37" s="1039">
        <v>50</v>
      </c>
      <c r="Q37" s="1039">
        <v>55</v>
      </c>
      <c r="R37" s="1040">
        <v>6</v>
      </c>
      <c r="T37" s="298">
        <v>3</v>
      </c>
      <c r="U37" s="298">
        <v>200</v>
      </c>
    </row>
    <row r="38" spans="1:21">
      <c r="A38" s="635" t="s">
        <v>986</v>
      </c>
      <c r="B38" s="921"/>
      <c r="C38" s="921"/>
      <c r="D38" s="921"/>
      <c r="E38" s="921"/>
      <c r="F38" s="921"/>
      <c r="G38" s="921"/>
      <c r="H38" s="922"/>
      <c r="I38" s="922"/>
      <c r="K38" s="916">
        <v>4</v>
      </c>
      <c r="L38" s="1038">
        <v>70</v>
      </c>
      <c r="M38" s="1038">
        <v>85</v>
      </c>
      <c r="N38" s="1038">
        <v>95</v>
      </c>
      <c r="O38" s="1039">
        <v>55</v>
      </c>
      <c r="P38" s="1039">
        <v>65</v>
      </c>
      <c r="Q38" s="1039">
        <v>75</v>
      </c>
      <c r="R38" s="1040">
        <v>4</v>
      </c>
      <c r="T38" s="298">
        <v>6</v>
      </c>
      <c r="U38" s="298">
        <v>225</v>
      </c>
    </row>
    <row r="39" spans="1:21" ht="12.75" customHeight="1">
      <c r="A39" s="1251" t="s">
        <v>990</v>
      </c>
      <c r="B39" s="1251"/>
      <c r="C39" s="1251"/>
      <c r="D39" s="1251"/>
      <c r="E39" s="1251"/>
      <c r="F39" s="1251"/>
      <c r="G39" s="1251"/>
      <c r="H39" s="1251"/>
      <c r="I39" s="1251"/>
      <c r="K39" s="916">
        <v>3</v>
      </c>
      <c r="L39" s="1038">
        <v>85</v>
      </c>
      <c r="M39" s="1038">
        <v>100</v>
      </c>
      <c r="N39" s="1038">
        <v>115</v>
      </c>
      <c r="O39" s="1039">
        <v>65</v>
      </c>
      <c r="P39" s="1039">
        <v>75</v>
      </c>
      <c r="Q39" s="1039">
        <v>85</v>
      </c>
      <c r="R39" s="1040">
        <v>3</v>
      </c>
      <c r="T39" s="298">
        <v>10</v>
      </c>
      <c r="U39" s="298">
        <v>250</v>
      </c>
    </row>
    <row r="40" spans="1:21">
      <c r="A40" s="1251"/>
      <c r="B40" s="1251"/>
      <c r="C40" s="1251"/>
      <c r="D40" s="1251"/>
      <c r="E40" s="1251"/>
      <c r="F40" s="1251"/>
      <c r="G40" s="1251"/>
      <c r="H40" s="1251"/>
      <c r="I40" s="1251"/>
      <c r="K40" s="916">
        <v>2</v>
      </c>
      <c r="L40" s="1038">
        <v>95</v>
      </c>
      <c r="M40" s="1038">
        <v>115</v>
      </c>
      <c r="N40" s="1038">
        <v>130</v>
      </c>
      <c r="O40" s="1039">
        <v>75</v>
      </c>
      <c r="P40" s="1039">
        <v>90</v>
      </c>
      <c r="Q40" s="1039">
        <v>100</v>
      </c>
      <c r="R40" s="1040">
        <v>2</v>
      </c>
      <c r="T40" s="298">
        <v>15</v>
      </c>
      <c r="U40" s="298">
        <v>300</v>
      </c>
    </row>
    <row r="41" spans="1:21">
      <c r="A41" s="1251"/>
      <c r="B41" s="1251"/>
      <c r="C41" s="1251"/>
      <c r="D41" s="1251"/>
      <c r="E41" s="1251"/>
      <c r="F41" s="1251"/>
      <c r="G41" s="1251"/>
      <c r="H41" s="1251"/>
      <c r="I41" s="1251"/>
      <c r="K41" s="916">
        <v>1</v>
      </c>
      <c r="L41" s="1038">
        <v>110</v>
      </c>
      <c r="M41" s="1038">
        <v>130</v>
      </c>
      <c r="N41" s="1038">
        <v>145</v>
      </c>
      <c r="O41" s="1039">
        <v>85</v>
      </c>
      <c r="P41" s="1039">
        <v>100</v>
      </c>
      <c r="Q41" s="1039">
        <v>115</v>
      </c>
      <c r="R41" s="1040">
        <v>1</v>
      </c>
      <c r="T41" s="298">
        <v>20</v>
      </c>
      <c r="U41" s="298">
        <v>350</v>
      </c>
    </row>
    <row r="42" spans="1:21">
      <c r="A42" s="1251"/>
      <c r="B42" s="1251"/>
      <c r="C42" s="1251"/>
      <c r="D42" s="1251"/>
      <c r="E42" s="1251"/>
      <c r="F42" s="1251"/>
      <c r="G42" s="1251"/>
      <c r="H42" s="1251"/>
      <c r="I42" s="1251"/>
      <c r="K42" s="916" t="s">
        <v>18</v>
      </c>
      <c r="L42" s="1038">
        <v>125</v>
      </c>
      <c r="M42" s="1038">
        <v>150</v>
      </c>
      <c r="N42" s="1038">
        <v>170</v>
      </c>
      <c r="O42" s="1039">
        <v>100</v>
      </c>
      <c r="P42" s="1039">
        <v>120</v>
      </c>
      <c r="Q42" s="1039">
        <v>135</v>
      </c>
      <c r="R42" s="1040" t="s">
        <v>18</v>
      </c>
      <c r="T42" s="298">
        <v>25</v>
      </c>
      <c r="U42" s="298">
        <v>400</v>
      </c>
    </row>
    <row r="43" spans="1:21">
      <c r="A43" s="1251"/>
      <c r="B43" s="1251"/>
      <c r="C43" s="1251"/>
      <c r="D43" s="1251"/>
      <c r="E43" s="1251"/>
      <c r="F43" s="1251"/>
      <c r="G43" s="1251"/>
      <c r="H43" s="1251"/>
      <c r="I43" s="1251"/>
      <c r="K43" s="916" t="s">
        <v>20</v>
      </c>
      <c r="L43" s="1038">
        <v>145</v>
      </c>
      <c r="M43" s="1038">
        <v>175</v>
      </c>
      <c r="N43" s="1038">
        <v>195</v>
      </c>
      <c r="O43" s="1039">
        <v>115</v>
      </c>
      <c r="P43" s="1039">
        <v>135</v>
      </c>
      <c r="Q43" s="1039">
        <v>150</v>
      </c>
      <c r="R43" s="1040" t="s">
        <v>20</v>
      </c>
      <c r="T43" s="298">
        <v>30</v>
      </c>
      <c r="U43" s="298">
        <v>450</v>
      </c>
    </row>
    <row r="44" spans="1:21">
      <c r="A44" s="925" t="s">
        <v>987</v>
      </c>
      <c r="B44" s="926"/>
      <c r="C44" s="926"/>
      <c r="D44" s="926"/>
      <c r="E44" s="926"/>
      <c r="F44" s="926"/>
      <c r="G44" s="926"/>
      <c r="H44" s="926"/>
      <c r="I44" s="926"/>
      <c r="K44" s="916" t="s">
        <v>22</v>
      </c>
      <c r="L44" s="1038">
        <v>165</v>
      </c>
      <c r="M44" s="1038">
        <v>200</v>
      </c>
      <c r="N44" s="1038">
        <v>225</v>
      </c>
      <c r="O44" s="1039">
        <v>130</v>
      </c>
      <c r="P44" s="1039">
        <v>155</v>
      </c>
      <c r="Q44" s="1039">
        <v>175</v>
      </c>
      <c r="R44" s="1040" t="s">
        <v>22</v>
      </c>
      <c r="T44" s="298">
        <v>35</v>
      </c>
      <c r="U44" s="298">
        <v>500</v>
      </c>
    </row>
    <row r="45" spans="1:21" ht="12.75" customHeight="1">
      <c r="A45" s="1251" t="s">
        <v>1165</v>
      </c>
      <c r="B45" s="1251"/>
      <c r="C45" s="1251"/>
      <c r="D45" s="1251"/>
      <c r="E45" s="1251"/>
      <c r="F45" s="1251"/>
      <c r="G45" s="1251"/>
      <c r="H45" s="1251"/>
      <c r="I45" s="1251"/>
      <c r="K45" s="916" t="s">
        <v>23</v>
      </c>
      <c r="L45" s="1038">
        <v>195</v>
      </c>
      <c r="M45" s="1038">
        <v>230</v>
      </c>
      <c r="N45" s="1038">
        <v>260</v>
      </c>
      <c r="O45" s="1039">
        <v>150</v>
      </c>
      <c r="P45" s="1039">
        <v>180</v>
      </c>
      <c r="Q45" s="1039">
        <v>205</v>
      </c>
      <c r="R45" s="1040" t="s">
        <v>23</v>
      </c>
      <c r="T45" s="298">
        <v>40</v>
      </c>
      <c r="U45" s="298">
        <v>600</v>
      </c>
    </row>
    <row r="46" spans="1:21">
      <c r="A46" s="1251"/>
      <c r="B46" s="1251"/>
      <c r="C46" s="1251"/>
      <c r="D46" s="1251"/>
      <c r="E46" s="1251"/>
      <c r="F46" s="1251"/>
      <c r="G46" s="1251"/>
      <c r="H46" s="1251"/>
      <c r="I46" s="1251"/>
      <c r="K46" s="916">
        <v>250</v>
      </c>
      <c r="L46" s="1038">
        <v>215</v>
      </c>
      <c r="M46" s="1038">
        <v>255</v>
      </c>
      <c r="N46" s="1038">
        <v>290</v>
      </c>
      <c r="O46" s="1039">
        <v>170</v>
      </c>
      <c r="P46" s="1039">
        <v>205</v>
      </c>
      <c r="Q46" s="1039">
        <v>230</v>
      </c>
      <c r="R46" s="1040">
        <v>250</v>
      </c>
      <c r="T46" s="298">
        <v>45</v>
      </c>
      <c r="U46" s="298">
        <v>700</v>
      </c>
    </row>
    <row r="47" spans="1:21">
      <c r="A47" s="1251"/>
      <c r="B47" s="1251"/>
      <c r="C47" s="1251"/>
      <c r="D47" s="1251"/>
      <c r="E47" s="1251"/>
      <c r="F47" s="1251"/>
      <c r="G47" s="1251"/>
      <c r="H47" s="1251"/>
      <c r="I47" s="1251"/>
      <c r="K47" s="916">
        <v>300</v>
      </c>
      <c r="L47" s="1038">
        <v>240</v>
      </c>
      <c r="M47" s="1038">
        <v>285</v>
      </c>
      <c r="N47" s="1038">
        <v>320</v>
      </c>
      <c r="O47" s="1039">
        <v>195</v>
      </c>
      <c r="P47" s="1039">
        <v>230</v>
      </c>
      <c r="Q47" s="1039">
        <v>260</v>
      </c>
      <c r="R47" s="1040">
        <v>300</v>
      </c>
      <c r="T47" s="298">
        <v>50</v>
      </c>
      <c r="U47" s="298">
        <v>800</v>
      </c>
    </row>
    <row r="48" spans="1:21">
      <c r="A48" s="1251"/>
      <c r="B48" s="1251"/>
      <c r="C48" s="1251"/>
      <c r="D48" s="1251"/>
      <c r="E48" s="1251"/>
      <c r="F48" s="1251"/>
      <c r="G48" s="1251"/>
      <c r="H48" s="1251"/>
      <c r="I48" s="1251"/>
      <c r="K48" s="916">
        <v>350</v>
      </c>
      <c r="L48" s="1038">
        <v>260</v>
      </c>
      <c r="M48" s="1038">
        <v>310</v>
      </c>
      <c r="N48" s="1038">
        <v>350</v>
      </c>
      <c r="O48" s="1039">
        <v>210</v>
      </c>
      <c r="P48" s="1039">
        <v>250</v>
      </c>
      <c r="Q48" s="1039">
        <v>280</v>
      </c>
      <c r="R48" s="1040">
        <v>350</v>
      </c>
      <c r="T48" s="298">
        <v>60</v>
      </c>
      <c r="U48" s="298">
        <v>1000</v>
      </c>
    </row>
    <row r="49" spans="1:21">
      <c r="A49" s="1251"/>
      <c r="B49" s="1251"/>
      <c r="C49" s="1251"/>
      <c r="D49" s="1251"/>
      <c r="E49" s="1251"/>
      <c r="F49" s="1251"/>
      <c r="G49" s="1251"/>
      <c r="H49" s="1251"/>
      <c r="I49" s="1251"/>
      <c r="K49" s="916">
        <v>400</v>
      </c>
      <c r="L49" s="1038">
        <v>280</v>
      </c>
      <c r="M49" s="1038">
        <v>335</v>
      </c>
      <c r="N49" s="1038">
        <v>380</v>
      </c>
      <c r="O49" s="1039">
        <v>225</v>
      </c>
      <c r="P49" s="1039">
        <v>270</v>
      </c>
      <c r="Q49" s="1039">
        <v>305</v>
      </c>
      <c r="R49" s="1040">
        <v>400</v>
      </c>
      <c r="T49" s="298">
        <v>70</v>
      </c>
      <c r="U49" s="298">
        <v>1200</v>
      </c>
    </row>
    <row r="50" spans="1:21">
      <c r="A50" s="925" t="s">
        <v>988</v>
      </c>
      <c r="B50" s="926"/>
      <c r="C50" s="926"/>
      <c r="D50" s="926"/>
      <c r="E50" s="926"/>
      <c r="F50" s="926"/>
      <c r="G50" s="926"/>
      <c r="H50" s="926"/>
      <c r="I50" s="926"/>
      <c r="K50" s="916">
        <v>500</v>
      </c>
      <c r="L50" s="1038">
        <v>320</v>
      </c>
      <c r="M50" s="1038">
        <v>380</v>
      </c>
      <c r="N50" s="1038">
        <v>430</v>
      </c>
      <c r="O50" s="1039">
        <v>260</v>
      </c>
      <c r="P50" s="1039">
        <v>310</v>
      </c>
      <c r="Q50" s="1039">
        <v>350</v>
      </c>
      <c r="R50" s="1040">
        <v>500</v>
      </c>
      <c r="T50" s="298">
        <v>80</v>
      </c>
      <c r="U50" s="298">
        <v>1600</v>
      </c>
    </row>
    <row r="51" spans="1:21">
      <c r="A51" s="1251"/>
      <c r="B51" s="1251"/>
      <c r="C51" s="1251"/>
      <c r="D51" s="1251"/>
      <c r="E51" s="1251"/>
      <c r="F51" s="1251"/>
      <c r="G51" s="1251"/>
      <c r="H51" s="1251"/>
      <c r="I51" s="1251"/>
      <c r="K51" s="916">
        <v>600</v>
      </c>
      <c r="L51" s="1038">
        <v>350</v>
      </c>
      <c r="M51" s="1038">
        <v>420</v>
      </c>
      <c r="N51" s="1038">
        <v>475</v>
      </c>
      <c r="O51" s="1039">
        <v>285</v>
      </c>
      <c r="P51" s="1039">
        <v>340</v>
      </c>
      <c r="Q51" s="1039">
        <v>385</v>
      </c>
      <c r="R51" s="1040">
        <v>600</v>
      </c>
      <c r="T51" s="298">
        <v>90</v>
      </c>
      <c r="U51" s="298">
        <v>2000</v>
      </c>
    </row>
    <row r="52" spans="1:21">
      <c r="A52" s="1251"/>
      <c r="B52" s="1251"/>
      <c r="C52" s="1251"/>
      <c r="D52" s="1251"/>
      <c r="E52" s="1251"/>
      <c r="F52" s="1251"/>
      <c r="G52" s="1251"/>
      <c r="H52" s="1251"/>
      <c r="I52" s="1251"/>
      <c r="K52" s="916">
        <v>700</v>
      </c>
      <c r="L52" s="1038">
        <v>385</v>
      </c>
      <c r="M52" s="1038">
        <v>460</v>
      </c>
      <c r="N52" s="1038">
        <v>520</v>
      </c>
      <c r="O52" s="1039">
        <v>315</v>
      </c>
      <c r="P52" s="1039">
        <v>375</v>
      </c>
      <c r="Q52" s="1039">
        <v>425</v>
      </c>
      <c r="R52" s="1040">
        <v>700</v>
      </c>
      <c r="T52" s="298">
        <v>100</v>
      </c>
      <c r="U52" s="298">
        <v>2500</v>
      </c>
    </row>
    <row r="53" spans="1:21">
      <c r="A53" s="1251"/>
      <c r="B53" s="1251"/>
      <c r="C53" s="1251"/>
      <c r="D53" s="1251"/>
      <c r="E53" s="1251"/>
      <c r="F53" s="1251"/>
      <c r="G53" s="1251"/>
      <c r="H53" s="1251"/>
      <c r="I53" s="1251"/>
      <c r="K53" s="916">
        <v>750</v>
      </c>
      <c r="L53" s="1038">
        <v>400</v>
      </c>
      <c r="M53" s="1038">
        <v>475</v>
      </c>
      <c r="N53" s="1038">
        <v>535</v>
      </c>
      <c r="O53" s="1039">
        <v>320</v>
      </c>
      <c r="P53" s="1039">
        <v>385</v>
      </c>
      <c r="Q53" s="1039">
        <v>435</v>
      </c>
      <c r="R53" s="1040">
        <v>750</v>
      </c>
      <c r="T53" s="298">
        <v>110</v>
      </c>
      <c r="U53" s="298">
        <v>3000</v>
      </c>
    </row>
    <row r="54" spans="1:21">
      <c r="A54" s="1251"/>
      <c r="B54" s="1251"/>
      <c r="C54" s="1251"/>
      <c r="D54" s="1251"/>
      <c r="E54" s="1251"/>
      <c r="F54" s="1251"/>
      <c r="G54" s="1251"/>
      <c r="H54" s="1251"/>
      <c r="I54" s="1251"/>
      <c r="K54" s="1060" t="s">
        <v>1117</v>
      </c>
      <c r="T54" s="298">
        <v>125</v>
      </c>
      <c r="U54" s="298">
        <v>4000</v>
      </c>
    </row>
    <row r="55" spans="1:21">
      <c r="A55" s="1251"/>
      <c r="B55" s="1251"/>
      <c r="C55" s="1251"/>
      <c r="D55" s="1251"/>
      <c r="E55" s="1251"/>
      <c r="F55" s="1251"/>
      <c r="G55" s="1251"/>
      <c r="H55" s="1251"/>
      <c r="I55" s="1251"/>
      <c r="K55" s="379" t="s">
        <v>666</v>
      </c>
      <c r="T55" s="298">
        <v>150</v>
      </c>
      <c r="U55" s="298">
        <v>5000</v>
      </c>
    </row>
    <row r="56" spans="1:21">
      <c r="A56" s="1036"/>
      <c r="B56" s="1036"/>
      <c r="C56" s="1036"/>
      <c r="D56" s="1036"/>
      <c r="E56" s="1036"/>
      <c r="F56" s="1036"/>
      <c r="G56" s="1036"/>
      <c r="H56" s="1036"/>
      <c r="I56" s="1036"/>
      <c r="K56" s="380" t="s">
        <v>1156</v>
      </c>
      <c r="L56" s="928"/>
    </row>
    <row r="57" spans="1:21">
      <c r="A57" s="379" t="s">
        <v>666</v>
      </c>
      <c r="B57" s="928"/>
      <c r="C57" s="928"/>
      <c r="K57" s="379" t="s">
        <v>1157</v>
      </c>
    </row>
    <row r="58" spans="1:21">
      <c r="A58" s="380" t="s">
        <v>1156</v>
      </c>
      <c r="K58" s="379" t="s">
        <v>3</v>
      </c>
    </row>
    <row r="59" spans="1:21">
      <c r="A59" s="379" t="s">
        <v>1157</v>
      </c>
    </row>
    <row r="60" spans="1:21">
      <c r="A60" s="379" t="s">
        <v>3</v>
      </c>
    </row>
  </sheetData>
  <sheetProtection algorithmName="SHA-512" hashValue="s0G8UUWEn29xWRFVaDZtbBVc7e0VhG2VGqN8Hx/3vD8N78j27Jv410oWLwUN/MxL8DvAW0fT39k7eALhUEpfwA==" saltValue="j/W0EAvK7ZCODvgWD7kj/g==" spinCount="100000" sheet="1" objects="1" scenarios="1"/>
  <mergeCells count="18">
    <mergeCell ref="F4:F5"/>
    <mergeCell ref="H4:H5"/>
    <mergeCell ref="A45:I49"/>
    <mergeCell ref="A51:I55"/>
    <mergeCell ref="G4:G5"/>
    <mergeCell ref="A39:I43"/>
    <mergeCell ref="B4:B5"/>
    <mergeCell ref="D4:D5"/>
    <mergeCell ref="E4:E5"/>
    <mergeCell ref="I4:I5"/>
    <mergeCell ref="T34:U34"/>
    <mergeCell ref="T35:U35"/>
    <mergeCell ref="K5:R5"/>
    <mergeCell ref="L6:N6"/>
    <mergeCell ref="O6:Q6"/>
    <mergeCell ref="K30:R30"/>
    <mergeCell ref="L31:N31"/>
    <mergeCell ref="O31:Q31"/>
  </mergeCells>
  <dataValidations count="2">
    <dataValidation type="list" allowBlank="1" showInputMessage="1" showErrorMessage="1" sqref="C6:C35" xr:uid="{00000000-0002-0000-0C00-000000000000}">
      <formula1>$C$4:$C$5</formula1>
    </dataValidation>
    <dataValidation type="list" showInputMessage="1" showErrorMessage="1" sqref="G6:H35" xr:uid="{00000000-0002-0000-0C00-000001000000}">
      <formula1>$K$33:$K$54</formula1>
    </dataValidation>
  </dataValidations>
  <hyperlinks>
    <hyperlink ref="A58" r:id="rId1" display="wyomingelectrician@gmail.com" xr:uid="{00000000-0004-0000-0C00-000000000000}"/>
    <hyperlink ref="K56" r:id="rId2" display="wyomingelectrician@gmail.com" xr:uid="{00000000-0004-0000-0C00-000001000000}"/>
  </hyperlinks>
  <pageMargins left="0.7" right="0.7" top="0.75" bottom="0.75" header="0.3" footer="0.3"/>
  <pageSetup scale="76" orientation="portrait" r:id="rId3"/>
  <colBreaks count="2" manualBreakCount="2">
    <brk id="10" max="1048575" man="1"/>
    <brk id="18" max="1048575" man="1"/>
  </colBreaks>
  <legacy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V72"/>
  <sheetViews>
    <sheetView zoomScaleNormal="100" workbookViewId="0">
      <selection activeCell="O3" sqref="O3"/>
    </sheetView>
  </sheetViews>
  <sheetFormatPr defaultColWidth="9.140625" defaultRowHeight="12.75"/>
  <cols>
    <col min="1" max="1" width="9.42578125" style="250" customWidth="1"/>
    <col min="2" max="2" width="28.140625" style="250" customWidth="1"/>
    <col min="3" max="3" width="19.85546875" style="250" bestFit="1" customWidth="1"/>
    <col min="4" max="4" width="10.5703125" style="250" customWidth="1"/>
    <col min="5" max="5" width="8.5703125" style="184" bestFit="1" customWidth="1"/>
    <col min="6" max="6" width="12.28515625" style="184" bestFit="1" customWidth="1"/>
    <col min="7" max="7" width="11.28515625" style="184" customWidth="1"/>
    <col min="8" max="8" width="2.5703125" style="250" customWidth="1"/>
    <col min="9" max="16" width="13.42578125" style="250" customWidth="1"/>
    <col min="17" max="17" width="3.7109375" style="250" customWidth="1"/>
    <col min="18" max="18" width="15.28515625" style="249" customWidth="1"/>
    <col min="19" max="21" width="15.28515625" style="250" customWidth="1"/>
    <col min="22" max="16384" width="9.140625" style="250"/>
  </cols>
  <sheetData>
    <row r="1" spans="1:22">
      <c r="A1" s="482" t="s">
        <v>1159</v>
      </c>
      <c r="G1" s="929">
        <v>42694</v>
      </c>
      <c r="K1" s="482"/>
      <c r="L1" s="482"/>
      <c r="M1" s="482"/>
      <c r="N1" s="920" t="s">
        <v>662</v>
      </c>
      <c r="O1" s="923">
        <v>0.8</v>
      </c>
    </row>
    <row r="2" spans="1:22">
      <c r="A2" s="250" t="s">
        <v>1153</v>
      </c>
      <c r="K2" s="482"/>
      <c r="L2" s="482"/>
      <c r="M2" s="482"/>
      <c r="N2" s="924" t="s">
        <v>640</v>
      </c>
      <c r="O2" s="923">
        <v>0.94</v>
      </c>
      <c r="P2" s="482" t="s">
        <v>388</v>
      </c>
      <c r="R2" s="903" t="s">
        <v>641</v>
      </c>
      <c r="V2" s="904"/>
    </row>
    <row r="3" spans="1:22">
      <c r="K3" s="482"/>
      <c r="L3" s="482"/>
      <c r="M3" s="482"/>
      <c r="N3" s="924" t="s">
        <v>663</v>
      </c>
      <c r="O3" s="506">
        <f>O1*O2</f>
        <v>0.752</v>
      </c>
      <c r="P3" s="482"/>
      <c r="R3" s="903"/>
      <c r="V3" s="905"/>
    </row>
    <row r="4" spans="1:22" s="482" customFormat="1">
      <c r="A4" s="250"/>
      <c r="B4" s="1254" t="s">
        <v>1151</v>
      </c>
      <c r="C4" s="1037" t="s">
        <v>1162</v>
      </c>
      <c r="D4" s="1255" t="s">
        <v>74</v>
      </c>
      <c r="E4" s="1255" t="s">
        <v>1152</v>
      </c>
      <c r="F4" s="1237" t="s">
        <v>985</v>
      </c>
      <c r="G4" s="1237" t="s">
        <v>707</v>
      </c>
      <c r="I4" s="250"/>
      <c r="J4" s="250"/>
      <c r="M4" s="250"/>
      <c r="N4" s="250"/>
      <c r="O4" s="250"/>
      <c r="P4" s="250"/>
      <c r="R4" s="1037" t="s">
        <v>1158</v>
      </c>
      <c r="S4" s="1037" t="s">
        <v>210</v>
      </c>
      <c r="T4" s="250"/>
      <c r="U4" s="250"/>
    </row>
    <row r="5" spans="1:22">
      <c r="B5" s="1254"/>
      <c r="C5" s="1037" t="s">
        <v>1163</v>
      </c>
      <c r="D5" s="1255"/>
      <c r="E5" s="1255"/>
      <c r="F5" s="1237"/>
      <c r="G5" s="1237"/>
      <c r="I5" s="1245" t="str">
        <f>CONCATENATE("Table 310.15(B)(3)(a) Adjusted for Temp. and No. of Conductors in the Conduit by a Mult. of ",O3)</f>
        <v>Table 310.15(B)(3)(a) Adjusted for Temp. and No. of Conductors in the Conduit by a Mult. of 0.752</v>
      </c>
      <c r="J5" s="1245"/>
      <c r="K5" s="1245"/>
      <c r="L5" s="1245"/>
      <c r="M5" s="1245"/>
      <c r="N5" s="1245"/>
      <c r="O5" s="1245"/>
      <c r="P5" s="1245"/>
      <c r="R5" s="914" t="s">
        <v>14</v>
      </c>
      <c r="S5" s="915">
        <v>0.8</v>
      </c>
      <c r="T5" s="482"/>
      <c r="U5" s="482"/>
    </row>
    <row r="6" spans="1:22">
      <c r="B6" s="1254"/>
      <c r="C6" s="1037" t="s">
        <v>1150</v>
      </c>
      <c r="D6" s="1255"/>
      <c r="E6" s="1255"/>
      <c r="F6" s="1237"/>
      <c r="G6" s="1237"/>
      <c r="I6" s="1037"/>
      <c r="J6" s="1246" t="s">
        <v>10</v>
      </c>
      <c r="K6" s="1246"/>
      <c r="L6" s="1246"/>
      <c r="M6" s="1247" t="s">
        <v>11</v>
      </c>
      <c r="N6" s="1247"/>
      <c r="O6" s="1247"/>
      <c r="P6" s="902"/>
      <c r="R6" s="916" t="s">
        <v>15</v>
      </c>
      <c r="S6" s="917">
        <v>0.7</v>
      </c>
    </row>
    <row r="7" spans="1:22">
      <c r="A7" s="906" t="s">
        <v>550</v>
      </c>
      <c r="B7" s="1254"/>
      <c r="C7" s="1035" t="s">
        <v>1149</v>
      </c>
      <c r="D7" s="1255"/>
      <c r="E7" s="1255"/>
      <c r="F7" s="1237"/>
      <c r="G7" s="1237"/>
      <c r="I7" s="1037" t="s">
        <v>4</v>
      </c>
      <c r="J7" s="1042" t="s">
        <v>636</v>
      </c>
      <c r="K7" s="1042" t="s">
        <v>637</v>
      </c>
      <c r="L7" s="1042" t="s">
        <v>643</v>
      </c>
      <c r="M7" s="1044" t="s">
        <v>636</v>
      </c>
      <c r="N7" s="1044" t="s">
        <v>637</v>
      </c>
      <c r="O7" s="1044" t="s">
        <v>643</v>
      </c>
      <c r="P7" s="1037" t="s">
        <v>4</v>
      </c>
      <c r="R7" s="914" t="s">
        <v>16</v>
      </c>
      <c r="S7" s="915">
        <v>0.5</v>
      </c>
    </row>
    <row r="8" spans="1:22">
      <c r="A8" s="910">
        <v>1</v>
      </c>
      <c r="B8" s="911" t="s">
        <v>1146</v>
      </c>
      <c r="C8" s="1041" t="s">
        <v>1162</v>
      </c>
      <c r="D8" s="923">
        <v>27</v>
      </c>
      <c r="E8" s="480">
        <f>IF(OR(C8="Continuous Load",C8="Largest Motor"),1.25,1)</f>
        <v>1.25</v>
      </c>
      <c r="F8" s="1048">
        <f>D8*E8</f>
        <v>33.75</v>
      </c>
      <c r="G8" s="1058"/>
      <c r="I8" s="1040">
        <v>14</v>
      </c>
      <c r="J8" s="1043">
        <f t="shared" ref="J8:L35" si="0">J40*$O$3</f>
        <v>11.28</v>
      </c>
      <c r="K8" s="1043">
        <f t="shared" si="0"/>
        <v>15.04</v>
      </c>
      <c r="L8" s="1043">
        <f t="shared" si="0"/>
        <v>18.8</v>
      </c>
      <c r="M8" s="1045" t="s">
        <v>475</v>
      </c>
      <c r="N8" s="1045" t="s">
        <v>475</v>
      </c>
      <c r="O8" s="1045" t="s">
        <v>475</v>
      </c>
      <c r="P8" s="1040">
        <v>14</v>
      </c>
      <c r="R8" s="916" t="s">
        <v>17</v>
      </c>
      <c r="S8" s="917">
        <v>0.45</v>
      </c>
    </row>
    <row r="9" spans="1:22">
      <c r="A9" s="910">
        <v>2</v>
      </c>
      <c r="B9" s="911" t="s">
        <v>1146</v>
      </c>
      <c r="C9" s="1041" t="s">
        <v>1163</v>
      </c>
      <c r="D9" s="923">
        <v>27</v>
      </c>
      <c r="E9" s="480">
        <f t="shared" ref="E9:E37" si="1">IF(OR(C9="Continuous Load",C9="Largest Motor"),1.25,1)</f>
        <v>1</v>
      </c>
      <c r="F9" s="1048">
        <f>D9*E9</f>
        <v>27</v>
      </c>
      <c r="G9" s="1058"/>
      <c r="I9" s="1040">
        <v>12</v>
      </c>
      <c r="J9" s="1043">
        <f t="shared" si="0"/>
        <v>15.04</v>
      </c>
      <c r="K9" s="1043">
        <f t="shared" si="0"/>
        <v>18.8</v>
      </c>
      <c r="L9" s="1043">
        <f t="shared" si="0"/>
        <v>22.56</v>
      </c>
      <c r="M9" s="1046">
        <f t="shared" ref="M9:O35" si="2">M41*$O$3</f>
        <v>11.28</v>
      </c>
      <c r="N9" s="1046">
        <f t="shared" si="2"/>
        <v>15.04</v>
      </c>
      <c r="O9" s="1046">
        <f t="shared" si="2"/>
        <v>18.8</v>
      </c>
      <c r="P9" s="1040">
        <v>12</v>
      </c>
      <c r="R9" s="914" t="s">
        <v>19</v>
      </c>
      <c r="S9" s="915">
        <v>0.4</v>
      </c>
    </row>
    <row r="10" spans="1:22">
      <c r="A10" s="910">
        <v>3</v>
      </c>
      <c r="B10" s="911" t="s">
        <v>1147</v>
      </c>
      <c r="C10" s="1041" t="s">
        <v>1163</v>
      </c>
      <c r="D10" s="923">
        <v>21</v>
      </c>
      <c r="E10" s="480">
        <f t="shared" si="1"/>
        <v>1</v>
      </c>
      <c r="F10" s="1048">
        <f>D10*E10</f>
        <v>21</v>
      </c>
      <c r="G10" s="1058"/>
      <c r="I10" s="1040">
        <v>10</v>
      </c>
      <c r="J10" s="1043">
        <f t="shared" si="0"/>
        <v>22.56</v>
      </c>
      <c r="K10" s="1043">
        <f t="shared" si="0"/>
        <v>26.32</v>
      </c>
      <c r="L10" s="1043">
        <f t="shared" si="0"/>
        <v>30.08</v>
      </c>
      <c r="M10" s="1046">
        <f t="shared" si="2"/>
        <v>18.8</v>
      </c>
      <c r="N10" s="1046">
        <f t="shared" si="2"/>
        <v>22.56</v>
      </c>
      <c r="O10" s="1046">
        <f t="shared" si="2"/>
        <v>26.32</v>
      </c>
      <c r="P10" s="1040">
        <v>10</v>
      </c>
      <c r="R10" s="916" t="s">
        <v>644</v>
      </c>
      <c r="S10" s="917">
        <v>0.35</v>
      </c>
    </row>
    <row r="11" spans="1:22">
      <c r="A11" s="910">
        <v>4</v>
      </c>
      <c r="B11" s="911" t="s">
        <v>1147</v>
      </c>
      <c r="C11" s="1041" t="s">
        <v>1163</v>
      </c>
      <c r="D11" s="923">
        <v>21</v>
      </c>
      <c r="E11" s="480">
        <f t="shared" si="1"/>
        <v>1</v>
      </c>
      <c r="F11" s="1048">
        <f t="shared" ref="F11:F37" si="3">D11*E11</f>
        <v>21</v>
      </c>
      <c r="G11" s="1058"/>
      <c r="I11" s="1040">
        <v>8</v>
      </c>
      <c r="J11" s="1043">
        <f t="shared" si="0"/>
        <v>30.08</v>
      </c>
      <c r="K11" s="1043">
        <f t="shared" si="0"/>
        <v>37.6</v>
      </c>
      <c r="L11" s="1043">
        <f t="shared" si="0"/>
        <v>41.36</v>
      </c>
      <c r="M11" s="1046">
        <f t="shared" si="2"/>
        <v>26.32</v>
      </c>
      <c r="N11" s="1046">
        <f t="shared" si="2"/>
        <v>30.08</v>
      </c>
      <c r="O11" s="1046">
        <f t="shared" si="2"/>
        <v>33.840000000000003</v>
      </c>
      <c r="P11" s="1040">
        <v>8</v>
      </c>
    </row>
    <row r="12" spans="1:22">
      <c r="A12" s="910">
        <v>5</v>
      </c>
      <c r="B12" s="911" t="s">
        <v>1148</v>
      </c>
      <c r="C12" s="1041" t="s">
        <v>1163</v>
      </c>
      <c r="D12" s="923">
        <v>14</v>
      </c>
      <c r="E12" s="480">
        <f t="shared" si="1"/>
        <v>1</v>
      </c>
      <c r="F12" s="1048">
        <f t="shared" si="3"/>
        <v>14</v>
      </c>
      <c r="G12" s="1058"/>
      <c r="I12" s="1040">
        <v>6</v>
      </c>
      <c r="J12" s="1043">
        <f t="shared" si="0"/>
        <v>41.36</v>
      </c>
      <c r="K12" s="1043">
        <f t="shared" si="0"/>
        <v>48.88</v>
      </c>
      <c r="L12" s="1043">
        <f t="shared" si="0"/>
        <v>56.4</v>
      </c>
      <c r="M12" s="1046">
        <f t="shared" si="2"/>
        <v>30.08</v>
      </c>
      <c r="N12" s="1046">
        <f t="shared" si="2"/>
        <v>37.6</v>
      </c>
      <c r="O12" s="1046">
        <f t="shared" si="2"/>
        <v>41.36</v>
      </c>
      <c r="P12" s="1040">
        <v>6</v>
      </c>
    </row>
    <row r="13" spans="1:22">
      <c r="A13" s="910">
        <v>6</v>
      </c>
      <c r="B13" s="911"/>
      <c r="C13" s="1041" t="s">
        <v>1149</v>
      </c>
      <c r="D13" s="923">
        <v>0</v>
      </c>
      <c r="E13" s="480">
        <f t="shared" si="1"/>
        <v>1</v>
      </c>
      <c r="F13" s="1048">
        <f t="shared" si="3"/>
        <v>0</v>
      </c>
      <c r="G13" s="1058"/>
      <c r="I13" s="1040">
        <v>4</v>
      </c>
      <c r="J13" s="1043">
        <f t="shared" si="0"/>
        <v>52.64</v>
      </c>
      <c r="K13" s="1043">
        <f t="shared" si="0"/>
        <v>63.92</v>
      </c>
      <c r="L13" s="1043">
        <f t="shared" si="0"/>
        <v>71.44</v>
      </c>
      <c r="M13" s="1046">
        <f t="shared" si="2"/>
        <v>41.36</v>
      </c>
      <c r="N13" s="1046">
        <f t="shared" si="2"/>
        <v>48.88</v>
      </c>
      <c r="O13" s="1046">
        <f t="shared" si="2"/>
        <v>56.4</v>
      </c>
      <c r="P13" s="1040">
        <v>4</v>
      </c>
      <c r="R13" s="616" t="s">
        <v>640</v>
      </c>
    </row>
    <row r="14" spans="1:22">
      <c r="A14" s="910">
        <v>7</v>
      </c>
      <c r="B14" s="911"/>
      <c r="C14" s="1041" t="s">
        <v>1150</v>
      </c>
      <c r="D14" s="923">
        <v>0</v>
      </c>
      <c r="E14" s="480">
        <f t="shared" si="1"/>
        <v>1.25</v>
      </c>
      <c r="F14" s="1048">
        <f t="shared" si="3"/>
        <v>0</v>
      </c>
      <c r="G14" s="1058"/>
      <c r="I14" s="1040">
        <v>3</v>
      </c>
      <c r="J14" s="1043">
        <f t="shared" si="0"/>
        <v>63.92</v>
      </c>
      <c r="K14" s="1043">
        <f t="shared" si="0"/>
        <v>75.2</v>
      </c>
      <c r="L14" s="1043">
        <f t="shared" si="0"/>
        <v>86.48</v>
      </c>
      <c r="M14" s="1046">
        <f t="shared" si="2"/>
        <v>48.88</v>
      </c>
      <c r="N14" s="1046">
        <f t="shared" si="2"/>
        <v>56.4</v>
      </c>
      <c r="O14" s="1046">
        <f t="shared" si="2"/>
        <v>63.92</v>
      </c>
      <c r="P14" s="1040">
        <v>3</v>
      </c>
    </row>
    <row r="15" spans="1:22">
      <c r="A15" s="910">
        <v>8</v>
      </c>
      <c r="B15" s="911"/>
      <c r="C15" s="1041" t="s">
        <v>1149</v>
      </c>
      <c r="D15" s="923">
        <v>0</v>
      </c>
      <c r="E15" s="480">
        <f t="shared" si="1"/>
        <v>1</v>
      </c>
      <c r="F15" s="1048">
        <f t="shared" si="3"/>
        <v>0</v>
      </c>
      <c r="G15" s="1058"/>
      <c r="I15" s="1040">
        <v>2</v>
      </c>
      <c r="J15" s="1043">
        <f t="shared" si="0"/>
        <v>71.44</v>
      </c>
      <c r="K15" s="1043">
        <f t="shared" si="0"/>
        <v>86.48</v>
      </c>
      <c r="L15" s="1043">
        <f t="shared" si="0"/>
        <v>97.76</v>
      </c>
      <c r="M15" s="1046">
        <f t="shared" si="2"/>
        <v>56.4</v>
      </c>
      <c r="N15" s="1046">
        <f t="shared" si="2"/>
        <v>67.680000000000007</v>
      </c>
      <c r="O15" s="1046">
        <f t="shared" si="2"/>
        <v>75.2</v>
      </c>
      <c r="P15" s="1040">
        <v>2</v>
      </c>
      <c r="R15" s="907" t="s">
        <v>645</v>
      </c>
      <c r="S15" s="907" t="s">
        <v>636</v>
      </c>
      <c r="T15" s="907" t="s">
        <v>637</v>
      </c>
      <c r="U15" s="907" t="s">
        <v>643</v>
      </c>
    </row>
    <row r="16" spans="1:22">
      <c r="A16" s="910">
        <v>9</v>
      </c>
      <c r="B16" s="911"/>
      <c r="C16" s="1041" t="s">
        <v>1149</v>
      </c>
      <c r="D16" s="923">
        <v>0</v>
      </c>
      <c r="E16" s="480">
        <f t="shared" si="1"/>
        <v>1</v>
      </c>
      <c r="F16" s="1048">
        <f t="shared" si="3"/>
        <v>0</v>
      </c>
      <c r="G16" s="1058"/>
      <c r="I16" s="1040">
        <v>1</v>
      </c>
      <c r="J16" s="1043">
        <f t="shared" si="0"/>
        <v>82.72</v>
      </c>
      <c r="K16" s="1043">
        <f t="shared" si="0"/>
        <v>97.76</v>
      </c>
      <c r="L16" s="1043">
        <f t="shared" si="0"/>
        <v>109.04</v>
      </c>
      <c r="M16" s="1046">
        <f t="shared" si="2"/>
        <v>63.92</v>
      </c>
      <c r="N16" s="1046">
        <f t="shared" si="2"/>
        <v>75.2</v>
      </c>
      <c r="O16" s="1046">
        <f t="shared" si="2"/>
        <v>86.48</v>
      </c>
      <c r="P16" s="1040">
        <v>1</v>
      </c>
      <c r="R16" s="918" t="s">
        <v>646</v>
      </c>
      <c r="S16" s="915">
        <v>1.29</v>
      </c>
      <c r="T16" s="915">
        <v>1.2</v>
      </c>
      <c r="U16" s="915">
        <v>1.1499999999999999</v>
      </c>
    </row>
    <row r="17" spans="1:21">
      <c r="A17" s="910">
        <v>10</v>
      </c>
      <c r="B17" s="911"/>
      <c r="C17" s="1041" t="s">
        <v>1149</v>
      </c>
      <c r="D17" s="923">
        <v>0</v>
      </c>
      <c r="E17" s="480">
        <f t="shared" si="1"/>
        <v>1</v>
      </c>
      <c r="F17" s="1048">
        <f t="shared" si="3"/>
        <v>0</v>
      </c>
      <c r="G17" s="1058"/>
      <c r="I17" s="1040" t="s">
        <v>18</v>
      </c>
      <c r="J17" s="1043">
        <f t="shared" si="0"/>
        <v>94</v>
      </c>
      <c r="K17" s="1043">
        <f t="shared" si="0"/>
        <v>112.8</v>
      </c>
      <c r="L17" s="1043">
        <f t="shared" si="0"/>
        <v>127.84</v>
      </c>
      <c r="M17" s="1046">
        <f t="shared" si="2"/>
        <v>75.2</v>
      </c>
      <c r="N17" s="1046">
        <f t="shared" si="2"/>
        <v>90.24</v>
      </c>
      <c r="O17" s="1046">
        <f t="shared" si="2"/>
        <v>101.52</v>
      </c>
      <c r="P17" s="1040" t="s">
        <v>18</v>
      </c>
      <c r="R17" s="595" t="s">
        <v>647</v>
      </c>
      <c r="S17" s="480">
        <v>1.22</v>
      </c>
      <c r="T17" s="480">
        <v>1.1499999999999999</v>
      </c>
      <c r="U17" s="480">
        <v>1.1200000000000001</v>
      </c>
    </row>
    <row r="18" spans="1:21">
      <c r="A18" s="910">
        <v>11</v>
      </c>
      <c r="B18" s="911"/>
      <c r="C18" s="1041" t="s">
        <v>1149</v>
      </c>
      <c r="D18" s="923">
        <v>0</v>
      </c>
      <c r="E18" s="480">
        <f t="shared" si="1"/>
        <v>1</v>
      </c>
      <c r="F18" s="1048">
        <f t="shared" si="3"/>
        <v>0</v>
      </c>
      <c r="G18" s="1058"/>
      <c r="I18" s="1040" t="s">
        <v>20</v>
      </c>
      <c r="J18" s="1043">
        <f t="shared" si="0"/>
        <v>109.04</v>
      </c>
      <c r="K18" s="1043">
        <f t="shared" si="0"/>
        <v>131.6</v>
      </c>
      <c r="L18" s="1043">
        <f t="shared" si="0"/>
        <v>146.63999999999999</v>
      </c>
      <c r="M18" s="1046">
        <f t="shared" si="2"/>
        <v>86.48</v>
      </c>
      <c r="N18" s="1046">
        <f t="shared" si="2"/>
        <v>101.52</v>
      </c>
      <c r="O18" s="1046">
        <f t="shared" si="2"/>
        <v>112.8</v>
      </c>
      <c r="P18" s="1040" t="s">
        <v>20</v>
      </c>
      <c r="R18" s="918" t="s">
        <v>648</v>
      </c>
      <c r="S18" s="915">
        <v>1.115</v>
      </c>
      <c r="T18" s="915">
        <v>1.1100000000000001</v>
      </c>
      <c r="U18" s="915">
        <v>1.08</v>
      </c>
    </row>
    <row r="19" spans="1:21">
      <c r="A19" s="910">
        <v>12</v>
      </c>
      <c r="B19" s="911"/>
      <c r="C19" s="1041" t="s">
        <v>1149</v>
      </c>
      <c r="D19" s="923">
        <v>0</v>
      </c>
      <c r="E19" s="480">
        <f t="shared" si="1"/>
        <v>1</v>
      </c>
      <c r="F19" s="1048">
        <f t="shared" si="3"/>
        <v>0</v>
      </c>
      <c r="G19" s="1058"/>
      <c r="I19" s="1040" t="s">
        <v>22</v>
      </c>
      <c r="J19" s="1043">
        <f t="shared" si="0"/>
        <v>124.08</v>
      </c>
      <c r="K19" s="1043">
        <f t="shared" si="0"/>
        <v>150.4</v>
      </c>
      <c r="L19" s="1043">
        <f t="shared" si="0"/>
        <v>169.2</v>
      </c>
      <c r="M19" s="1046">
        <f t="shared" si="2"/>
        <v>97.76</v>
      </c>
      <c r="N19" s="1046">
        <f t="shared" si="2"/>
        <v>116.56</v>
      </c>
      <c r="O19" s="1046">
        <f t="shared" si="2"/>
        <v>131.6</v>
      </c>
      <c r="P19" s="1040" t="s">
        <v>22</v>
      </c>
      <c r="R19" s="595" t="s">
        <v>649</v>
      </c>
      <c r="S19" s="480">
        <v>1.08</v>
      </c>
      <c r="T19" s="480">
        <v>1.05</v>
      </c>
      <c r="U19" s="480">
        <v>10.4</v>
      </c>
    </row>
    <row r="20" spans="1:21">
      <c r="A20" s="910">
        <v>13</v>
      </c>
      <c r="B20" s="911"/>
      <c r="C20" s="1041" t="s">
        <v>1149</v>
      </c>
      <c r="D20" s="923">
        <v>0</v>
      </c>
      <c r="E20" s="480">
        <f t="shared" si="1"/>
        <v>1</v>
      </c>
      <c r="F20" s="1048">
        <f t="shared" si="3"/>
        <v>0</v>
      </c>
      <c r="G20" s="1058"/>
      <c r="I20" s="1040" t="s">
        <v>23</v>
      </c>
      <c r="J20" s="1043">
        <f t="shared" si="0"/>
        <v>146.63999999999999</v>
      </c>
      <c r="K20" s="1043">
        <f t="shared" si="0"/>
        <v>172.96</v>
      </c>
      <c r="L20" s="1043">
        <f t="shared" si="0"/>
        <v>195.52</v>
      </c>
      <c r="M20" s="1046">
        <f t="shared" si="2"/>
        <v>112.8</v>
      </c>
      <c r="N20" s="1046">
        <f t="shared" si="2"/>
        <v>135.36000000000001</v>
      </c>
      <c r="O20" s="1046">
        <f t="shared" si="2"/>
        <v>154.16</v>
      </c>
      <c r="P20" s="1040" t="s">
        <v>23</v>
      </c>
      <c r="R20" s="918" t="s">
        <v>650</v>
      </c>
      <c r="S20" s="915">
        <v>1</v>
      </c>
      <c r="T20" s="915">
        <v>1</v>
      </c>
      <c r="U20" s="915">
        <v>1</v>
      </c>
    </row>
    <row r="21" spans="1:21">
      <c r="A21" s="910">
        <v>14</v>
      </c>
      <c r="B21" s="911"/>
      <c r="C21" s="1041" t="s">
        <v>1149</v>
      </c>
      <c r="D21" s="923">
        <v>0</v>
      </c>
      <c r="E21" s="480">
        <f t="shared" si="1"/>
        <v>1</v>
      </c>
      <c r="F21" s="1048">
        <f t="shared" si="3"/>
        <v>0</v>
      </c>
      <c r="G21" s="1058"/>
      <c r="I21" s="1040">
        <v>250</v>
      </c>
      <c r="J21" s="1043">
        <f t="shared" si="0"/>
        <v>161.68</v>
      </c>
      <c r="K21" s="1043">
        <f t="shared" si="0"/>
        <v>191.76</v>
      </c>
      <c r="L21" s="1043">
        <f t="shared" si="0"/>
        <v>218.08</v>
      </c>
      <c r="M21" s="1046">
        <f t="shared" si="2"/>
        <v>127.84</v>
      </c>
      <c r="N21" s="1046">
        <f t="shared" si="2"/>
        <v>154.16</v>
      </c>
      <c r="O21" s="1046">
        <f t="shared" si="2"/>
        <v>172.96</v>
      </c>
      <c r="P21" s="1040">
        <v>250</v>
      </c>
      <c r="R21" s="595" t="s">
        <v>651</v>
      </c>
      <c r="S21" s="480">
        <v>0.91</v>
      </c>
      <c r="T21" s="480">
        <v>0.94</v>
      </c>
      <c r="U21" s="480">
        <v>0.96</v>
      </c>
    </row>
    <row r="22" spans="1:21">
      <c r="A22" s="910">
        <v>15</v>
      </c>
      <c r="B22" s="911"/>
      <c r="C22" s="1041" t="s">
        <v>1149</v>
      </c>
      <c r="D22" s="923">
        <v>0</v>
      </c>
      <c r="E22" s="480">
        <f t="shared" si="1"/>
        <v>1</v>
      </c>
      <c r="F22" s="1048">
        <f t="shared" si="3"/>
        <v>0</v>
      </c>
      <c r="G22" s="1058"/>
      <c r="I22" s="1040">
        <v>300</v>
      </c>
      <c r="J22" s="1043">
        <f t="shared" si="0"/>
        <v>180.48</v>
      </c>
      <c r="K22" s="1043">
        <f t="shared" si="0"/>
        <v>214.32</v>
      </c>
      <c r="L22" s="1043">
        <f t="shared" si="0"/>
        <v>240.64</v>
      </c>
      <c r="M22" s="1046">
        <f t="shared" si="2"/>
        <v>146.63999999999999</v>
      </c>
      <c r="N22" s="1046">
        <f t="shared" si="2"/>
        <v>172.96</v>
      </c>
      <c r="O22" s="1046">
        <f t="shared" si="2"/>
        <v>195.52</v>
      </c>
      <c r="P22" s="1040">
        <v>300</v>
      </c>
      <c r="R22" s="918" t="s">
        <v>652</v>
      </c>
      <c r="S22" s="915">
        <v>0.82</v>
      </c>
      <c r="T22" s="915">
        <v>0.88</v>
      </c>
      <c r="U22" s="915">
        <v>0.91</v>
      </c>
    </row>
    <row r="23" spans="1:21">
      <c r="A23" s="910">
        <v>16</v>
      </c>
      <c r="B23" s="911"/>
      <c r="C23" s="1041" t="s">
        <v>1149</v>
      </c>
      <c r="D23" s="923">
        <v>0</v>
      </c>
      <c r="E23" s="480">
        <f t="shared" si="1"/>
        <v>1</v>
      </c>
      <c r="F23" s="1048">
        <f t="shared" si="3"/>
        <v>0</v>
      </c>
      <c r="G23" s="1058"/>
      <c r="I23" s="1040">
        <v>350</v>
      </c>
      <c r="J23" s="1043">
        <f t="shared" si="0"/>
        <v>195.52</v>
      </c>
      <c r="K23" s="1043">
        <f t="shared" si="0"/>
        <v>233.12</v>
      </c>
      <c r="L23" s="1043">
        <f t="shared" si="0"/>
        <v>263.2</v>
      </c>
      <c r="M23" s="1046">
        <f t="shared" si="2"/>
        <v>157.91999999999999</v>
      </c>
      <c r="N23" s="1046">
        <f t="shared" si="2"/>
        <v>188</v>
      </c>
      <c r="O23" s="1046">
        <f t="shared" si="2"/>
        <v>210.56</v>
      </c>
      <c r="P23" s="1040">
        <v>350</v>
      </c>
      <c r="R23" s="595" t="s">
        <v>653</v>
      </c>
      <c r="S23" s="480">
        <v>0.71</v>
      </c>
      <c r="T23" s="480">
        <v>0.82</v>
      </c>
      <c r="U23" s="480">
        <v>0.87</v>
      </c>
    </row>
    <row r="24" spans="1:21">
      <c r="A24" s="910">
        <v>17</v>
      </c>
      <c r="B24" s="911"/>
      <c r="C24" s="1041" t="s">
        <v>1149</v>
      </c>
      <c r="D24" s="923">
        <v>0</v>
      </c>
      <c r="E24" s="480">
        <f t="shared" si="1"/>
        <v>1</v>
      </c>
      <c r="F24" s="1048">
        <f t="shared" si="3"/>
        <v>0</v>
      </c>
      <c r="G24" s="1058"/>
      <c r="I24" s="1040">
        <v>400</v>
      </c>
      <c r="J24" s="1043">
        <f t="shared" si="0"/>
        <v>210.56</v>
      </c>
      <c r="K24" s="1043">
        <f t="shared" si="0"/>
        <v>251.92</v>
      </c>
      <c r="L24" s="1043">
        <f t="shared" si="0"/>
        <v>285.76</v>
      </c>
      <c r="M24" s="1046">
        <f t="shared" si="2"/>
        <v>169.2</v>
      </c>
      <c r="N24" s="1046">
        <f t="shared" si="2"/>
        <v>203.04</v>
      </c>
      <c r="O24" s="1046">
        <f t="shared" si="2"/>
        <v>229.36</v>
      </c>
      <c r="P24" s="1040">
        <v>400</v>
      </c>
      <c r="R24" s="918" t="s">
        <v>654</v>
      </c>
      <c r="S24" s="915">
        <v>0.57999999999999996</v>
      </c>
      <c r="T24" s="915">
        <v>0.75</v>
      </c>
      <c r="U24" s="915">
        <v>0.82</v>
      </c>
    </row>
    <row r="25" spans="1:21">
      <c r="A25" s="910">
        <v>18</v>
      </c>
      <c r="B25" s="911"/>
      <c r="C25" s="1041" t="s">
        <v>1149</v>
      </c>
      <c r="D25" s="923">
        <v>0</v>
      </c>
      <c r="E25" s="480">
        <f t="shared" si="1"/>
        <v>1</v>
      </c>
      <c r="F25" s="1048">
        <f t="shared" si="3"/>
        <v>0</v>
      </c>
      <c r="G25" s="1058"/>
      <c r="I25" s="1040">
        <v>500</v>
      </c>
      <c r="J25" s="1043">
        <f t="shared" si="0"/>
        <v>240.64</v>
      </c>
      <c r="K25" s="1043">
        <f t="shared" si="0"/>
        <v>285.76</v>
      </c>
      <c r="L25" s="1043">
        <f t="shared" si="0"/>
        <v>323.36</v>
      </c>
      <c r="M25" s="1046">
        <f t="shared" si="2"/>
        <v>195.52</v>
      </c>
      <c r="N25" s="1046">
        <f t="shared" si="2"/>
        <v>233.12</v>
      </c>
      <c r="O25" s="1046">
        <f t="shared" si="2"/>
        <v>263.2</v>
      </c>
      <c r="P25" s="1040">
        <v>500</v>
      </c>
      <c r="R25" s="595" t="s">
        <v>655</v>
      </c>
      <c r="S25" s="480">
        <v>0.41</v>
      </c>
      <c r="T25" s="480">
        <v>0.67</v>
      </c>
      <c r="U25" s="480">
        <v>0.76</v>
      </c>
    </row>
    <row r="26" spans="1:21">
      <c r="A26" s="910">
        <v>19</v>
      </c>
      <c r="B26" s="911"/>
      <c r="C26" s="1041" t="s">
        <v>1149</v>
      </c>
      <c r="D26" s="923">
        <v>0</v>
      </c>
      <c r="E26" s="480">
        <f t="shared" si="1"/>
        <v>1</v>
      </c>
      <c r="F26" s="1048">
        <f t="shared" si="3"/>
        <v>0</v>
      </c>
      <c r="G26" s="1058"/>
      <c r="I26" s="1040">
        <v>600</v>
      </c>
      <c r="J26" s="1043">
        <f t="shared" si="0"/>
        <v>263.2</v>
      </c>
      <c r="K26" s="1043">
        <f t="shared" si="0"/>
        <v>315.83999999999997</v>
      </c>
      <c r="L26" s="1043">
        <f t="shared" si="0"/>
        <v>357.2</v>
      </c>
      <c r="M26" s="1046">
        <f t="shared" si="2"/>
        <v>214.32</v>
      </c>
      <c r="N26" s="1046">
        <f t="shared" si="2"/>
        <v>255.68</v>
      </c>
      <c r="O26" s="1046">
        <f t="shared" si="2"/>
        <v>289.52</v>
      </c>
      <c r="P26" s="1040">
        <v>600</v>
      </c>
      <c r="R26" s="918" t="s">
        <v>656</v>
      </c>
      <c r="S26" s="915"/>
      <c r="T26" s="915">
        <v>0.57999999999999996</v>
      </c>
      <c r="U26" s="915">
        <v>0.71</v>
      </c>
    </row>
    <row r="27" spans="1:21">
      <c r="A27" s="910">
        <v>20</v>
      </c>
      <c r="B27" s="911"/>
      <c r="C27" s="1041" t="s">
        <v>1149</v>
      </c>
      <c r="D27" s="923">
        <v>0</v>
      </c>
      <c r="E27" s="480">
        <f t="shared" si="1"/>
        <v>1</v>
      </c>
      <c r="F27" s="1048">
        <f t="shared" si="3"/>
        <v>0</v>
      </c>
      <c r="G27" s="1058"/>
      <c r="I27" s="1040">
        <v>700</v>
      </c>
      <c r="J27" s="1043">
        <f t="shared" si="0"/>
        <v>289.52</v>
      </c>
      <c r="K27" s="1043">
        <f t="shared" si="0"/>
        <v>345.92</v>
      </c>
      <c r="L27" s="1043">
        <f t="shared" si="0"/>
        <v>391.04</v>
      </c>
      <c r="M27" s="1046">
        <f t="shared" si="2"/>
        <v>236.88</v>
      </c>
      <c r="N27" s="1046">
        <f t="shared" si="2"/>
        <v>282</v>
      </c>
      <c r="O27" s="1046">
        <f t="shared" si="2"/>
        <v>319.60000000000002</v>
      </c>
      <c r="P27" s="1040">
        <v>700</v>
      </c>
      <c r="R27" s="595" t="s">
        <v>657</v>
      </c>
      <c r="S27" s="480"/>
      <c r="T27" s="480">
        <v>0.47</v>
      </c>
      <c r="U27" s="480">
        <v>0.65</v>
      </c>
    </row>
    <row r="28" spans="1:21">
      <c r="A28" s="910">
        <v>21</v>
      </c>
      <c r="B28" s="911"/>
      <c r="C28" s="1041" t="s">
        <v>1149</v>
      </c>
      <c r="D28" s="923">
        <v>0</v>
      </c>
      <c r="E28" s="480">
        <f t="shared" si="1"/>
        <v>1</v>
      </c>
      <c r="F28" s="1048">
        <f t="shared" si="3"/>
        <v>0</v>
      </c>
      <c r="G28" s="1058"/>
      <c r="I28" s="1040">
        <v>750</v>
      </c>
      <c r="J28" s="1043">
        <f t="shared" si="0"/>
        <v>300.8</v>
      </c>
      <c r="K28" s="1043">
        <f t="shared" si="0"/>
        <v>357.2</v>
      </c>
      <c r="L28" s="1043">
        <f t="shared" si="0"/>
        <v>402.32</v>
      </c>
      <c r="M28" s="1046">
        <f t="shared" si="2"/>
        <v>240.64</v>
      </c>
      <c r="N28" s="1046">
        <f t="shared" si="2"/>
        <v>289.52</v>
      </c>
      <c r="O28" s="1046">
        <f t="shared" si="2"/>
        <v>327.12</v>
      </c>
      <c r="P28" s="1040">
        <v>750</v>
      </c>
      <c r="R28" s="918" t="s">
        <v>658</v>
      </c>
      <c r="S28" s="915"/>
      <c r="T28" s="915">
        <v>0.33</v>
      </c>
      <c r="U28" s="915">
        <v>0.57999999999999996</v>
      </c>
    </row>
    <row r="29" spans="1:21">
      <c r="A29" s="910">
        <v>22</v>
      </c>
      <c r="B29" s="911"/>
      <c r="C29" s="1041" t="s">
        <v>1149</v>
      </c>
      <c r="D29" s="923">
        <v>0</v>
      </c>
      <c r="E29" s="480">
        <f t="shared" si="1"/>
        <v>1</v>
      </c>
      <c r="F29" s="1048">
        <f t="shared" si="3"/>
        <v>0</v>
      </c>
      <c r="G29" s="1058"/>
      <c r="I29" s="1040">
        <v>800</v>
      </c>
      <c r="J29" s="1043">
        <f t="shared" si="0"/>
        <v>308.32</v>
      </c>
      <c r="K29" s="1043">
        <f t="shared" si="0"/>
        <v>368.48</v>
      </c>
      <c r="L29" s="1043">
        <f t="shared" si="0"/>
        <v>417.36</v>
      </c>
      <c r="M29" s="1046">
        <f t="shared" si="2"/>
        <v>248.16</v>
      </c>
      <c r="N29" s="1046">
        <f t="shared" si="2"/>
        <v>297.04000000000002</v>
      </c>
      <c r="O29" s="1046">
        <f t="shared" si="2"/>
        <v>334.64</v>
      </c>
      <c r="P29" s="1040">
        <v>800</v>
      </c>
      <c r="R29" s="595" t="s">
        <v>659</v>
      </c>
      <c r="S29" s="480"/>
      <c r="T29" s="480"/>
      <c r="U29" s="480">
        <v>0.5</v>
      </c>
    </row>
    <row r="30" spans="1:21">
      <c r="A30" s="910">
        <v>23</v>
      </c>
      <c r="B30" s="911"/>
      <c r="C30" s="1041" t="s">
        <v>1149</v>
      </c>
      <c r="D30" s="923">
        <v>0</v>
      </c>
      <c r="E30" s="480">
        <f t="shared" si="1"/>
        <v>1</v>
      </c>
      <c r="F30" s="1048">
        <f t="shared" si="3"/>
        <v>0</v>
      </c>
      <c r="G30" s="1058"/>
      <c r="I30" s="1040">
        <v>900</v>
      </c>
      <c r="J30" s="1043">
        <f t="shared" si="0"/>
        <v>327.12</v>
      </c>
      <c r="K30" s="1043">
        <f t="shared" si="0"/>
        <v>391.04</v>
      </c>
      <c r="L30" s="1043">
        <f t="shared" si="0"/>
        <v>439.92</v>
      </c>
      <c r="M30" s="1046">
        <f t="shared" si="2"/>
        <v>266.95999999999998</v>
      </c>
      <c r="N30" s="1046">
        <f t="shared" si="2"/>
        <v>319.60000000000002</v>
      </c>
      <c r="O30" s="1046">
        <f t="shared" si="2"/>
        <v>360.96</v>
      </c>
      <c r="P30" s="1040">
        <v>900</v>
      </c>
      <c r="R30" s="918" t="s">
        <v>660</v>
      </c>
      <c r="S30" s="915"/>
      <c r="T30" s="915"/>
      <c r="U30" s="915">
        <v>0.41</v>
      </c>
    </row>
    <row r="31" spans="1:21">
      <c r="A31" s="910">
        <v>24</v>
      </c>
      <c r="B31" s="911"/>
      <c r="C31" s="1041" t="s">
        <v>1149</v>
      </c>
      <c r="D31" s="923">
        <v>0</v>
      </c>
      <c r="E31" s="480">
        <f t="shared" si="1"/>
        <v>1</v>
      </c>
      <c r="F31" s="1048">
        <f t="shared" ref="F31:F34" si="4">D31*E31</f>
        <v>0</v>
      </c>
      <c r="G31" s="1058"/>
      <c r="I31" s="1040">
        <v>1000</v>
      </c>
      <c r="J31" s="1043">
        <f t="shared" si="0"/>
        <v>342.16</v>
      </c>
      <c r="K31" s="1043">
        <f t="shared" si="0"/>
        <v>409.84</v>
      </c>
      <c r="L31" s="1043">
        <f t="shared" si="0"/>
        <v>462.48</v>
      </c>
      <c r="M31" s="1046">
        <f t="shared" si="2"/>
        <v>282</v>
      </c>
      <c r="N31" s="1046">
        <f t="shared" si="2"/>
        <v>334.64</v>
      </c>
      <c r="O31" s="1046">
        <f t="shared" si="2"/>
        <v>376</v>
      </c>
      <c r="P31" s="1040">
        <v>1000</v>
      </c>
      <c r="R31" s="595" t="s">
        <v>661</v>
      </c>
      <c r="S31" s="480"/>
      <c r="T31" s="480"/>
      <c r="U31" s="480">
        <v>0.28999999999999998</v>
      </c>
    </row>
    <row r="32" spans="1:21">
      <c r="A32" s="910">
        <v>25</v>
      </c>
      <c r="B32" s="911"/>
      <c r="C32" s="1041" t="s">
        <v>1149</v>
      </c>
      <c r="D32" s="923">
        <v>0</v>
      </c>
      <c r="E32" s="480">
        <f t="shared" si="1"/>
        <v>1</v>
      </c>
      <c r="F32" s="1048">
        <f t="shared" si="4"/>
        <v>0</v>
      </c>
      <c r="G32" s="1058"/>
      <c r="I32" s="1040">
        <v>1250</v>
      </c>
      <c r="J32" s="1043">
        <f t="shared" si="0"/>
        <v>372.24</v>
      </c>
      <c r="K32" s="1043">
        <f t="shared" si="0"/>
        <v>443.68</v>
      </c>
      <c r="L32" s="1043">
        <f t="shared" si="0"/>
        <v>500.08</v>
      </c>
      <c r="M32" s="1046">
        <f t="shared" si="2"/>
        <v>304.56</v>
      </c>
      <c r="N32" s="1046">
        <f t="shared" si="2"/>
        <v>364.72</v>
      </c>
      <c r="O32" s="1046">
        <f t="shared" si="2"/>
        <v>409.84</v>
      </c>
      <c r="P32" s="1040">
        <v>1250</v>
      </c>
      <c r="R32" s="250"/>
    </row>
    <row r="33" spans="1:19">
      <c r="A33" s="910">
        <v>26</v>
      </c>
      <c r="B33" s="911"/>
      <c r="C33" s="1041" t="s">
        <v>1149</v>
      </c>
      <c r="D33" s="923">
        <v>0</v>
      </c>
      <c r="E33" s="480">
        <f t="shared" si="1"/>
        <v>1</v>
      </c>
      <c r="F33" s="1048">
        <f t="shared" si="4"/>
        <v>0</v>
      </c>
      <c r="G33" s="1058"/>
      <c r="I33" s="1040">
        <v>1500</v>
      </c>
      <c r="J33" s="1043">
        <f t="shared" si="0"/>
        <v>394.8</v>
      </c>
      <c r="K33" s="1043">
        <f t="shared" si="0"/>
        <v>470</v>
      </c>
      <c r="L33" s="1043">
        <f t="shared" si="0"/>
        <v>530.16</v>
      </c>
      <c r="M33" s="1046">
        <f t="shared" si="2"/>
        <v>327.12</v>
      </c>
      <c r="N33" s="1046">
        <f t="shared" si="2"/>
        <v>391.04</v>
      </c>
      <c r="O33" s="1046">
        <f t="shared" si="2"/>
        <v>439.92</v>
      </c>
      <c r="P33" s="1040">
        <v>1500</v>
      </c>
      <c r="R33" s="250"/>
    </row>
    <row r="34" spans="1:19" ht="12.75" customHeight="1">
      <c r="A34" s="910">
        <v>27</v>
      </c>
      <c r="B34" s="911"/>
      <c r="C34" s="1041" t="s">
        <v>1149</v>
      </c>
      <c r="D34" s="923">
        <v>0</v>
      </c>
      <c r="E34" s="480">
        <f t="shared" si="1"/>
        <v>1</v>
      </c>
      <c r="F34" s="1048">
        <f t="shared" si="4"/>
        <v>0</v>
      </c>
      <c r="G34" s="1058"/>
      <c r="I34" s="1040">
        <v>1750</v>
      </c>
      <c r="J34" s="1043">
        <f t="shared" si="0"/>
        <v>409.84</v>
      </c>
      <c r="K34" s="1043">
        <f t="shared" si="0"/>
        <v>488.8</v>
      </c>
      <c r="L34" s="1043">
        <f t="shared" si="0"/>
        <v>552.72</v>
      </c>
      <c r="M34" s="1046">
        <f t="shared" si="2"/>
        <v>342.16</v>
      </c>
      <c r="N34" s="1046">
        <f t="shared" si="2"/>
        <v>409.84</v>
      </c>
      <c r="O34" s="1046">
        <f t="shared" si="2"/>
        <v>462.48</v>
      </c>
      <c r="P34" s="1040">
        <v>1750</v>
      </c>
      <c r="R34" s="1241" t="s">
        <v>638</v>
      </c>
      <c r="S34" s="1242"/>
    </row>
    <row r="35" spans="1:19">
      <c r="A35" s="910">
        <v>28</v>
      </c>
      <c r="B35" s="911"/>
      <c r="C35" s="1041" t="s">
        <v>1149</v>
      </c>
      <c r="D35" s="923">
        <v>0</v>
      </c>
      <c r="E35" s="480">
        <f t="shared" si="1"/>
        <v>1</v>
      </c>
      <c r="F35" s="1048">
        <f t="shared" si="3"/>
        <v>0</v>
      </c>
      <c r="G35" s="1058"/>
      <c r="I35" s="1040">
        <v>2000</v>
      </c>
      <c r="J35" s="1043">
        <f t="shared" si="0"/>
        <v>417.36</v>
      </c>
      <c r="K35" s="1043">
        <f t="shared" si="0"/>
        <v>500.08</v>
      </c>
      <c r="L35" s="1043">
        <f t="shared" si="0"/>
        <v>564</v>
      </c>
      <c r="M35" s="1046">
        <f t="shared" si="2"/>
        <v>353.44</v>
      </c>
      <c r="N35" s="1046">
        <f t="shared" si="2"/>
        <v>421.12</v>
      </c>
      <c r="O35" s="1046">
        <f t="shared" si="2"/>
        <v>473.76</v>
      </c>
      <c r="P35" s="1040">
        <v>2000</v>
      </c>
      <c r="R35" s="1243" t="s">
        <v>7</v>
      </c>
      <c r="S35" s="1244"/>
    </row>
    <row r="36" spans="1:19">
      <c r="A36" s="910">
        <v>29</v>
      </c>
      <c r="B36" s="911"/>
      <c r="C36" s="1041" t="s">
        <v>1149</v>
      </c>
      <c r="D36" s="923">
        <v>0</v>
      </c>
      <c r="E36" s="480">
        <f t="shared" si="1"/>
        <v>1</v>
      </c>
      <c r="F36" s="1048">
        <f t="shared" ref="F36" si="5">D36*E36</f>
        <v>0</v>
      </c>
      <c r="G36" s="1058"/>
      <c r="I36" s="927"/>
      <c r="J36" s="507"/>
      <c r="K36" s="507"/>
      <c r="L36" s="507"/>
      <c r="M36" s="507"/>
      <c r="N36" s="507"/>
      <c r="O36" s="507"/>
      <c r="P36" s="927"/>
      <c r="R36" s="298">
        <v>1</v>
      </c>
      <c r="S36" s="298">
        <v>175</v>
      </c>
    </row>
    <row r="37" spans="1:19" ht="13.5" thickBot="1">
      <c r="A37" s="910">
        <v>30</v>
      </c>
      <c r="B37" s="911"/>
      <c r="C37" s="1041" t="s">
        <v>1149</v>
      </c>
      <c r="D37" s="1052">
        <v>0</v>
      </c>
      <c r="E37" s="480">
        <f t="shared" si="1"/>
        <v>1</v>
      </c>
      <c r="F37" s="1049">
        <f t="shared" si="3"/>
        <v>0</v>
      </c>
      <c r="G37" s="1058"/>
      <c r="I37" s="1245" t="s">
        <v>1161</v>
      </c>
      <c r="J37" s="1245"/>
      <c r="K37" s="1245"/>
      <c r="L37" s="1245"/>
      <c r="M37" s="1245"/>
      <c r="N37" s="1245"/>
      <c r="O37" s="1245"/>
      <c r="P37" s="1245"/>
      <c r="R37" s="298">
        <v>3</v>
      </c>
      <c r="S37" s="298">
        <v>200</v>
      </c>
    </row>
    <row r="38" spans="1:19">
      <c r="A38" s="906" t="s">
        <v>35</v>
      </c>
      <c r="D38" s="1051">
        <f>MAX(D8:D37)</f>
        <v>27</v>
      </c>
      <c r="E38" s="478" t="s">
        <v>35</v>
      </c>
      <c r="F38" s="1056">
        <f>SUM(F8:F37)</f>
        <v>116.75</v>
      </c>
      <c r="G38" s="1050"/>
      <c r="I38" s="1037"/>
      <c r="J38" s="1249" t="s">
        <v>10</v>
      </c>
      <c r="K38" s="1249"/>
      <c r="L38" s="1249"/>
      <c r="M38" s="1250" t="s">
        <v>11</v>
      </c>
      <c r="N38" s="1250"/>
      <c r="O38" s="1250"/>
      <c r="P38" s="902"/>
      <c r="R38" s="298">
        <v>6</v>
      </c>
      <c r="S38" s="298">
        <v>225</v>
      </c>
    </row>
    <row r="39" spans="1:19" ht="12.75" customHeight="1" thickBot="1">
      <c r="A39" s="906"/>
      <c r="D39" s="1053" t="s">
        <v>1155</v>
      </c>
      <c r="E39" s="478"/>
      <c r="F39" s="1057" t="s">
        <v>1164</v>
      </c>
      <c r="G39" s="478"/>
      <c r="I39" s="1037" t="s">
        <v>4</v>
      </c>
      <c r="J39" s="1038" t="s">
        <v>636</v>
      </c>
      <c r="K39" s="1038" t="s">
        <v>637</v>
      </c>
      <c r="L39" s="1038" t="s">
        <v>643</v>
      </c>
      <c r="M39" s="1039" t="s">
        <v>636</v>
      </c>
      <c r="N39" s="1039" t="s">
        <v>637</v>
      </c>
      <c r="O39" s="1039" t="s">
        <v>643</v>
      </c>
      <c r="P39" s="1037" t="s">
        <v>4</v>
      </c>
      <c r="R39" s="298">
        <v>10</v>
      </c>
      <c r="S39" s="298">
        <v>250</v>
      </c>
    </row>
    <row r="40" spans="1:19">
      <c r="A40" s="635" t="s">
        <v>986</v>
      </c>
      <c r="B40" s="921"/>
      <c r="C40" s="921"/>
      <c r="D40" s="921"/>
      <c r="E40" s="921"/>
      <c r="F40" s="921"/>
      <c r="G40" s="921"/>
      <c r="I40" s="916">
        <v>14</v>
      </c>
      <c r="J40" s="1038">
        <v>15</v>
      </c>
      <c r="K40" s="1038">
        <v>20</v>
      </c>
      <c r="L40" s="1038">
        <v>25</v>
      </c>
      <c r="M40" s="1047" t="s">
        <v>475</v>
      </c>
      <c r="N40" s="1047" t="s">
        <v>475</v>
      </c>
      <c r="O40" s="1047" t="s">
        <v>475</v>
      </c>
      <c r="P40" s="1040">
        <v>14</v>
      </c>
      <c r="R40" s="298">
        <v>15</v>
      </c>
      <c r="S40" s="298">
        <v>300</v>
      </c>
    </row>
    <row r="41" spans="1:19">
      <c r="A41" s="1251" t="s">
        <v>990</v>
      </c>
      <c r="B41" s="1251"/>
      <c r="C41" s="1251"/>
      <c r="D41" s="1251"/>
      <c r="E41" s="1251"/>
      <c r="F41" s="1251"/>
      <c r="G41" s="1251"/>
      <c r="I41" s="916">
        <v>12</v>
      </c>
      <c r="J41" s="1038">
        <v>20</v>
      </c>
      <c r="K41" s="1038">
        <v>25</v>
      </c>
      <c r="L41" s="1038">
        <v>30</v>
      </c>
      <c r="M41" s="1039">
        <v>15</v>
      </c>
      <c r="N41" s="1039">
        <v>20</v>
      </c>
      <c r="O41" s="1039">
        <v>25</v>
      </c>
      <c r="P41" s="1040">
        <v>12</v>
      </c>
      <c r="R41" s="298">
        <v>20</v>
      </c>
      <c r="S41" s="298">
        <v>350</v>
      </c>
    </row>
    <row r="42" spans="1:19">
      <c r="A42" s="1251"/>
      <c r="B42" s="1251"/>
      <c r="C42" s="1251"/>
      <c r="D42" s="1251"/>
      <c r="E42" s="1251"/>
      <c r="F42" s="1251"/>
      <c r="G42" s="1251"/>
      <c r="I42" s="916">
        <v>10</v>
      </c>
      <c r="J42" s="1038">
        <v>30</v>
      </c>
      <c r="K42" s="1038">
        <v>35</v>
      </c>
      <c r="L42" s="1038">
        <v>40</v>
      </c>
      <c r="M42" s="1039">
        <v>25</v>
      </c>
      <c r="N42" s="1039">
        <v>30</v>
      </c>
      <c r="O42" s="1039">
        <v>35</v>
      </c>
      <c r="P42" s="1040">
        <v>10</v>
      </c>
      <c r="R42" s="298">
        <v>25</v>
      </c>
      <c r="S42" s="298">
        <v>400</v>
      </c>
    </row>
    <row r="43" spans="1:19">
      <c r="A43" s="1251"/>
      <c r="B43" s="1251"/>
      <c r="C43" s="1251"/>
      <c r="D43" s="1251"/>
      <c r="E43" s="1251"/>
      <c r="F43" s="1251"/>
      <c r="G43" s="1251"/>
      <c r="I43" s="916">
        <v>8</v>
      </c>
      <c r="J43" s="1038">
        <v>40</v>
      </c>
      <c r="K43" s="1038">
        <v>50</v>
      </c>
      <c r="L43" s="1038">
        <v>55</v>
      </c>
      <c r="M43" s="1039">
        <v>35</v>
      </c>
      <c r="N43" s="1039">
        <v>40</v>
      </c>
      <c r="O43" s="1039">
        <v>45</v>
      </c>
      <c r="P43" s="1040">
        <v>8</v>
      </c>
      <c r="R43" s="298">
        <v>30</v>
      </c>
      <c r="S43" s="298">
        <v>450</v>
      </c>
    </row>
    <row r="44" spans="1:19">
      <c r="A44" s="1251"/>
      <c r="B44" s="1251"/>
      <c r="C44" s="1251"/>
      <c r="D44" s="1251"/>
      <c r="E44" s="1251"/>
      <c r="F44" s="1251"/>
      <c r="G44" s="1251"/>
      <c r="I44" s="916">
        <v>6</v>
      </c>
      <c r="J44" s="1038">
        <v>55</v>
      </c>
      <c r="K44" s="1038">
        <v>65</v>
      </c>
      <c r="L44" s="1038">
        <v>75</v>
      </c>
      <c r="M44" s="1039">
        <v>40</v>
      </c>
      <c r="N44" s="1039">
        <v>50</v>
      </c>
      <c r="O44" s="1039">
        <v>55</v>
      </c>
      <c r="P44" s="1040">
        <v>6</v>
      </c>
      <c r="R44" s="298">
        <v>35</v>
      </c>
      <c r="S44" s="298">
        <v>500</v>
      </c>
    </row>
    <row r="45" spans="1:19" ht="12.75" customHeight="1">
      <c r="A45" s="1251"/>
      <c r="B45" s="1251"/>
      <c r="C45" s="1251"/>
      <c r="D45" s="1251"/>
      <c r="E45" s="1251"/>
      <c r="F45" s="1251"/>
      <c r="G45" s="1251"/>
      <c r="I45" s="916">
        <v>4</v>
      </c>
      <c r="J45" s="1038">
        <v>70</v>
      </c>
      <c r="K45" s="1038">
        <v>85</v>
      </c>
      <c r="L45" s="1038">
        <v>95</v>
      </c>
      <c r="M45" s="1039">
        <v>55</v>
      </c>
      <c r="N45" s="1039">
        <v>65</v>
      </c>
      <c r="O45" s="1039">
        <v>75</v>
      </c>
      <c r="P45" s="1040">
        <v>4</v>
      </c>
      <c r="R45" s="298">
        <v>40</v>
      </c>
      <c r="S45" s="298">
        <v>600</v>
      </c>
    </row>
    <row r="46" spans="1:19">
      <c r="A46" s="925" t="s">
        <v>987</v>
      </c>
      <c r="B46" s="926"/>
      <c r="C46" s="926"/>
      <c r="D46" s="926"/>
      <c r="E46" s="926"/>
      <c r="F46" s="926"/>
      <c r="G46" s="926"/>
      <c r="I46" s="916">
        <v>3</v>
      </c>
      <c r="J46" s="1038">
        <v>85</v>
      </c>
      <c r="K46" s="1038">
        <v>100</v>
      </c>
      <c r="L46" s="1038">
        <v>115</v>
      </c>
      <c r="M46" s="1039">
        <v>65</v>
      </c>
      <c r="N46" s="1039">
        <v>75</v>
      </c>
      <c r="O46" s="1039">
        <v>85</v>
      </c>
      <c r="P46" s="1040">
        <v>3</v>
      </c>
      <c r="R46" s="298">
        <v>45</v>
      </c>
      <c r="S46" s="298">
        <v>700</v>
      </c>
    </row>
    <row r="47" spans="1:19">
      <c r="A47" s="1251" t="s">
        <v>1154</v>
      </c>
      <c r="B47" s="1251"/>
      <c r="C47" s="1251"/>
      <c r="D47" s="1251"/>
      <c r="E47" s="1251"/>
      <c r="F47" s="1251"/>
      <c r="G47" s="1251"/>
      <c r="I47" s="916">
        <v>2</v>
      </c>
      <c r="J47" s="1038">
        <v>95</v>
      </c>
      <c r="K47" s="1038">
        <v>115</v>
      </c>
      <c r="L47" s="1038">
        <v>130</v>
      </c>
      <c r="M47" s="1039">
        <v>75</v>
      </c>
      <c r="N47" s="1039">
        <v>90</v>
      </c>
      <c r="O47" s="1039">
        <v>100</v>
      </c>
      <c r="P47" s="1040">
        <v>2</v>
      </c>
      <c r="R47" s="298">
        <v>50</v>
      </c>
      <c r="S47" s="298">
        <v>800</v>
      </c>
    </row>
    <row r="48" spans="1:19">
      <c r="A48" s="1251"/>
      <c r="B48" s="1251"/>
      <c r="C48" s="1251"/>
      <c r="D48" s="1251"/>
      <c r="E48" s="1251"/>
      <c r="F48" s="1251"/>
      <c r="G48" s="1251"/>
      <c r="I48" s="916">
        <v>1</v>
      </c>
      <c r="J48" s="1038">
        <v>110</v>
      </c>
      <c r="K48" s="1038">
        <v>130</v>
      </c>
      <c r="L48" s="1038">
        <v>145</v>
      </c>
      <c r="M48" s="1039">
        <v>85</v>
      </c>
      <c r="N48" s="1039">
        <v>100</v>
      </c>
      <c r="O48" s="1039">
        <v>115</v>
      </c>
      <c r="P48" s="1040">
        <v>1</v>
      </c>
      <c r="R48" s="298">
        <v>60</v>
      </c>
      <c r="S48" s="298">
        <v>1000</v>
      </c>
    </row>
    <row r="49" spans="1:19">
      <c r="A49" s="1251"/>
      <c r="B49" s="1251"/>
      <c r="C49" s="1251"/>
      <c r="D49" s="1251"/>
      <c r="E49" s="1251"/>
      <c r="F49" s="1251"/>
      <c r="G49" s="1251"/>
      <c r="I49" s="916" t="s">
        <v>18</v>
      </c>
      <c r="J49" s="1038">
        <v>125</v>
      </c>
      <c r="K49" s="1038">
        <v>150</v>
      </c>
      <c r="L49" s="1038">
        <v>170</v>
      </c>
      <c r="M49" s="1039">
        <v>100</v>
      </c>
      <c r="N49" s="1039">
        <v>120</v>
      </c>
      <c r="O49" s="1039">
        <v>135</v>
      </c>
      <c r="P49" s="1040" t="s">
        <v>18</v>
      </c>
      <c r="R49" s="298">
        <v>70</v>
      </c>
      <c r="S49" s="298">
        <v>1200</v>
      </c>
    </row>
    <row r="50" spans="1:19">
      <c r="A50" s="1251"/>
      <c r="B50" s="1251"/>
      <c r="C50" s="1251"/>
      <c r="D50" s="1251"/>
      <c r="E50" s="1251"/>
      <c r="F50" s="1251"/>
      <c r="G50" s="1251"/>
      <c r="I50" s="916" t="s">
        <v>20</v>
      </c>
      <c r="J50" s="1038">
        <v>145</v>
      </c>
      <c r="K50" s="1038">
        <v>175</v>
      </c>
      <c r="L50" s="1038">
        <v>195</v>
      </c>
      <c r="M50" s="1039">
        <v>115</v>
      </c>
      <c r="N50" s="1039">
        <v>135</v>
      </c>
      <c r="O50" s="1039">
        <v>150</v>
      </c>
      <c r="P50" s="1040" t="s">
        <v>20</v>
      </c>
      <c r="R50" s="298">
        <v>80</v>
      </c>
      <c r="S50" s="298">
        <v>1600</v>
      </c>
    </row>
    <row r="51" spans="1:19">
      <c r="A51" s="1251"/>
      <c r="B51" s="1251"/>
      <c r="C51" s="1251"/>
      <c r="D51" s="1251"/>
      <c r="E51" s="1251"/>
      <c r="F51" s="1251"/>
      <c r="G51" s="1251"/>
      <c r="I51" s="916" t="s">
        <v>22</v>
      </c>
      <c r="J51" s="1038">
        <v>165</v>
      </c>
      <c r="K51" s="1038">
        <v>200</v>
      </c>
      <c r="L51" s="1038">
        <v>225</v>
      </c>
      <c r="M51" s="1039">
        <v>130</v>
      </c>
      <c r="N51" s="1039">
        <v>155</v>
      </c>
      <c r="O51" s="1039">
        <v>175</v>
      </c>
      <c r="P51" s="1040" t="s">
        <v>22</v>
      </c>
      <c r="R51" s="298">
        <v>90</v>
      </c>
      <c r="S51" s="298">
        <v>2000</v>
      </c>
    </row>
    <row r="52" spans="1:19">
      <c r="A52" s="925" t="s">
        <v>988</v>
      </c>
      <c r="B52" s="926"/>
      <c r="C52" s="926"/>
      <c r="D52" s="926"/>
      <c r="E52" s="926"/>
      <c r="F52" s="926"/>
      <c r="G52" s="926"/>
      <c r="I52" s="916" t="s">
        <v>23</v>
      </c>
      <c r="J52" s="1038">
        <v>195</v>
      </c>
      <c r="K52" s="1038">
        <v>230</v>
      </c>
      <c r="L52" s="1038">
        <v>260</v>
      </c>
      <c r="M52" s="1039">
        <v>150</v>
      </c>
      <c r="N52" s="1039">
        <v>180</v>
      </c>
      <c r="O52" s="1039">
        <v>205</v>
      </c>
      <c r="P52" s="1040" t="s">
        <v>23</v>
      </c>
      <c r="R52" s="298">
        <v>100</v>
      </c>
      <c r="S52" s="298">
        <v>2500</v>
      </c>
    </row>
    <row r="53" spans="1:19">
      <c r="A53" s="1251"/>
      <c r="B53" s="1251"/>
      <c r="C53" s="1251"/>
      <c r="D53" s="1251"/>
      <c r="E53" s="1251"/>
      <c r="F53" s="1251"/>
      <c r="G53" s="1251"/>
      <c r="I53" s="916">
        <v>250</v>
      </c>
      <c r="J53" s="1038">
        <v>215</v>
      </c>
      <c r="K53" s="1038">
        <v>255</v>
      </c>
      <c r="L53" s="1038">
        <v>290</v>
      </c>
      <c r="M53" s="1039">
        <v>170</v>
      </c>
      <c r="N53" s="1039">
        <v>205</v>
      </c>
      <c r="O53" s="1039">
        <v>230</v>
      </c>
      <c r="P53" s="1040">
        <v>250</v>
      </c>
      <c r="R53" s="298">
        <v>110</v>
      </c>
      <c r="S53" s="298">
        <v>3000</v>
      </c>
    </row>
    <row r="54" spans="1:19">
      <c r="A54" s="1251"/>
      <c r="B54" s="1251"/>
      <c r="C54" s="1251"/>
      <c r="D54" s="1251"/>
      <c r="E54" s="1251"/>
      <c r="F54" s="1251"/>
      <c r="G54" s="1251"/>
      <c r="I54" s="916">
        <v>300</v>
      </c>
      <c r="J54" s="1038">
        <v>240</v>
      </c>
      <c r="K54" s="1038">
        <v>285</v>
      </c>
      <c r="L54" s="1038">
        <v>320</v>
      </c>
      <c r="M54" s="1039">
        <v>195</v>
      </c>
      <c r="N54" s="1039">
        <v>230</v>
      </c>
      <c r="O54" s="1039">
        <v>260</v>
      </c>
      <c r="P54" s="1040">
        <v>300</v>
      </c>
      <c r="R54" s="298">
        <v>125</v>
      </c>
      <c r="S54" s="298">
        <v>4000</v>
      </c>
    </row>
    <row r="55" spans="1:19">
      <c r="A55" s="1251"/>
      <c r="B55" s="1251"/>
      <c r="C55" s="1251"/>
      <c r="D55" s="1251"/>
      <c r="E55" s="1251"/>
      <c r="F55" s="1251"/>
      <c r="G55" s="1251"/>
      <c r="I55" s="916">
        <v>350</v>
      </c>
      <c r="J55" s="1038">
        <v>260</v>
      </c>
      <c r="K55" s="1038">
        <v>310</v>
      </c>
      <c r="L55" s="1038">
        <v>350</v>
      </c>
      <c r="M55" s="1039">
        <v>210</v>
      </c>
      <c r="N55" s="1039">
        <v>250</v>
      </c>
      <c r="O55" s="1039">
        <v>280</v>
      </c>
      <c r="P55" s="1040">
        <v>350</v>
      </c>
      <c r="R55" s="298">
        <v>150</v>
      </c>
      <c r="S55" s="298">
        <v>5000</v>
      </c>
    </row>
    <row r="56" spans="1:19">
      <c r="A56" s="1251"/>
      <c r="B56" s="1251"/>
      <c r="C56" s="1251"/>
      <c r="D56" s="1251"/>
      <c r="E56" s="1251"/>
      <c r="F56" s="1251"/>
      <c r="G56" s="1251"/>
      <c r="I56" s="916">
        <v>400</v>
      </c>
      <c r="J56" s="1038">
        <v>280</v>
      </c>
      <c r="K56" s="1038">
        <v>335</v>
      </c>
      <c r="L56" s="1038">
        <v>380</v>
      </c>
      <c r="M56" s="1039">
        <v>225</v>
      </c>
      <c r="N56" s="1039">
        <v>270</v>
      </c>
      <c r="O56" s="1039">
        <v>305</v>
      </c>
      <c r="P56" s="1040">
        <v>400</v>
      </c>
    </row>
    <row r="57" spans="1:19">
      <c r="A57" s="1251"/>
      <c r="B57" s="1251"/>
      <c r="C57" s="1251"/>
      <c r="D57" s="1251"/>
      <c r="E57" s="1251"/>
      <c r="F57" s="1251"/>
      <c r="G57" s="1251"/>
      <c r="I57" s="916">
        <v>500</v>
      </c>
      <c r="J57" s="1038">
        <v>320</v>
      </c>
      <c r="K57" s="1038">
        <v>380</v>
      </c>
      <c r="L57" s="1038">
        <v>430</v>
      </c>
      <c r="M57" s="1039">
        <v>260</v>
      </c>
      <c r="N57" s="1039">
        <v>310</v>
      </c>
      <c r="O57" s="1039">
        <v>350</v>
      </c>
      <c r="P57" s="1040">
        <v>500</v>
      </c>
    </row>
    <row r="58" spans="1:19">
      <c r="A58" s="925" t="s">
        <v>989</v>
      </c>
      <c r="B58" s="926"/>
      <c r="C58" s="926"/>
      <c r="D58" s="926"/>
      <c r="E58" s="926"/>
      <c r="F58" s="926"/>
      <c r="G58" s="926"/>
      <c r="I58" s="916">
        <v>600</v>
      </c>
      <c r="J58" s="1038">
        <v>350</v>
      </c>
      <c r="K58" s="1038">
        <v>420</v>
      </c>
      <c r="L58" s="1038">
        <v>475</v>
      </c>
      <c r="M58" s="1039">
        <v>285</v>
      </c>
      <c r="N58" s="1039">
        <v>340</v>
      </c>
      <c r="O58" s="1039">
        <v>385</v>
      </c>
      <c r="P58" s="1040">
        <v>600</v>
      </c>
    </row>
    <row r="59" spans="1:19">
      <c r="A59" s="1251"/>
      <c r="B59" s="1251"/>
      <c r="C59" s="1251"/>
      <c r="D59" s="1251"/>
      <c r="E59" s="1251"/>
      <c r="F59" s="1251"/>
      <c r="G59" s="1251"/>
      <c r="I59" s="916">
        <v>700</v>
      </c>
      <c r="J59" s="1038">
        <v>385</v>
      </c>
      <c r="K59" s="1038">
        <v>460</v>
      </c>
      <c r="L59" s="1038">
        <v>520</v>
      </c>
      <c r="M59" s="1039">
        <v>315</v>
      </c>
      <c r="N59" s="1039">
        <v>375</v>
      </c>
      <c r="O59" s="1039">
        <v>425</v>
      </c>
      <c r="P59" s="1040">
        <v>700</v>
      </c>
    </row>
    <row r="60" spans="1:19">
      <c r="A60" s="1251"/>
      <c r="B60" s="1251"/>
      <c r="C60" s="1251"/>
      <c r="D60" s="1251"/>
      <c r="E60" s="1251"/>
      <c r="F60" s="1251"/>
      <c r="G60" s="1251"/>
      <c r="I60" s="916">
        <v>750</v>
      </c>
      <c r="J60" s="1038">
        <v>400</v>
      </c>
      <c r="K60" s="1038">
        <v>475</v>
      </c>
      <c r="L60" s="1038">
        <v>535</v>
      </c>
      <c r="M60" s="1039">
        <v>320</v>
      </c>
      <c r="N60" s="1039">
        <v>385</v>
      </c>
      <c r="O60" s="1039">
        <v>435</v>
      </c>
      <c r="P60" s="1040">
        <v>750</v>
      </c>
    </row>
    <row r="61" spans="1:19">
      <c r="A61" s="1251"/>
      <c r="B61" s="1251"/>
      <c r="C61" s="1251"/>
      <c r="D61" s="1251"/>
      <c r="E61" s="1251"/>
      <c r="F61" s="1251"/>
      <c r="G61" s="1251"/>
      <c r="I61" s="916">
        <v>800</v>
      </c>
      <c r="J61" s="1038">
        <v>410</v>
      </c>
      <c r="K61" s="1038">
        <v>490</v>
      </c>
      <c r="L61" s="1038">
        <v>555</v>
      </c>
      <c r="M61" s="1039">
        <v>330</v>
      </c>
      <c r="N61" s="1039">
        <v>395</v>
      </c>
      <c r="O61" s="1039">
        <v>445</v>
      </c>
      <c r="P61" s="1040">
        <v>800</v>
      </c>
    </row>
    <row r="62" spans="1:19">
      <c r="A62" s="1251"/>
      <c r="B62" s="1251"/>
      <c r="C62" s="1251"/>
      <c r="D62" s="1251"/>
      <c r="E62" s="1251"/>
      <c r="F62" s="1251"/>
      <c r="G62" s="1251"/>
      <c r="I62" s="916">
        <v>900</v>
      </c>
      <c r="J62" s="1038">
        <v>435</v>
      </c>
      <c r="K62" s="1038">
        <v>520</v>
      </c>
      <c r="L62" s="1038">
        <v>585</v>
      </c>
      <c r="M62" s="1039">
        <v>355</v>
      </c>
      <c r="N62" s="1039">
        <v>425</v>
      </c>
      <c r="O62" s="1039">
        <v>480</v>
      </c>
      <c r="P62" s="1040">
        <v>900</v>
      </c>
    </row>
    <row r="63" spans="1:19">
      <c r="A63" s="1251"/>
      <c r="B63" s="1251"/>
      <c r="C63" s="1251"/>
      <c r="D63" s="1251"/>
      <c r="E63" s="1251"/>
      <c r="F63" s="1251"/>
      <c r="G63" s="1251"/>
      <c r="I63" s="916">
        <v>1000</v>
      </c>
      <c r="J63" s="1038">
        <v>455</v>
      </c>
      <c r="K63" s="1038">
        <v>545</v>
      </c>
      <c r="L63" s="1038">
        <v>615</v>
      </c>
      <c r="M63" s="1039">
        <v>375</v>
      </c>
      <c r="N63" s="1039">
        <v>445</v>
      </c>
      <c r="O63" s="1039">
        <v>500</v>
      </c>
      <c r="P63" s="1040">
        <v>1000</v>
      </c>
    </row>
    <row r="64" spans="1:19">
      <c r="A64" s="1036"/>
      <c r="B64" s="1036"/>
      <c r="C64" s="1036"/>
      <c r="D64" s="1036"/>
      <c r="E64" s="1036"/>
      <c r="F64" s="1036"/>
      <c r="G64" s="1036"/>
      <c r="I64" s="916">
        <v>1250</v>
      </c>
      <c r="J64" s="1038">
        <v>495</v>
      </c>
      <c r="K64" s="1038">
        <v>590</v>
      </c>
      <c r="L64" s="1038">
        <v>665</v>
      </c>
      <c r="M64" s="1039">
        <v>405</v>
      </c>
      <c r="N64" s="1039">
        <v>485</v>
      </c>
      <c r="O64" s="1039">
        <v>545</v>
      </c>
      <c r="P64" s="1040">
        <v>1250</v>
      </c>
    </row>
    <row r="65" spans="1:16">
      <c r="B65" s="928"/>
      <c r="C65" s="928"/>
      <c r="I65" s="916">
        <v>1500</v>
      </c>
      <c r="J65" s="1038">
        <v>525</v>
      </c>
      <c r="K65" s="1038">
        <v>625</v>
      </c>
      <c r="L65" s="1038">
        <v>705</v>
      </c>
      <c r="M65" s="1039">
        <v>435</v>
      </c>
      <c r="N65" s="1039">
        <v>520</v>
      </c>
      <c r="O65" s="1039">
        <v>585</v>
      </c>
      <c r="P65" s="1040">
        <v>1500</v>
      </c>
    </row>
    <row r="66" spans="1:16">
      <c r="I66" s="916">
        <v>1750</v>
      </c>
      <c r="J66" s="1038">
        <v>545</v>
      </c>
      <c r="K66" s="1038">
        <v>650</v>
      </c>
      <c r="L66" s="1038">
        <v>735</v>
      </c>
      <c r="M66" s="1039">
        <v>455</v>
      </c>
      <c r="N66" s="1039">
        <v>545</v>
      </c>
      <c r="O66" s="1039">
        <v>615</v>
      </c>
      <c r="P66" s="1040">
        <v>1750</v>
      </c>
    </row>
    <row r="67" spans="1:16">
      <c r="I67" s="916">
        <v>2000</v>
      </c>
      <c r="J67" s="1038">
        <v>555</v>
      </c>
      <c r="K67" s="1038">
        <v>665</v>
      </c>
      <c r="L67" s="1038">
        <v>750</v>
      </c>
      <c r="M67" s="1039">
        <v>470</v>
      </c>
      <c r="N67" s="1039">
        <v>560</v>
      </c>
      <c r="O67" s="1039">
        <v>630</v>
      </c>
      <c r="P67" s="1040">
        <v>2000</v>
      </c>
    </row>
    <row r="68" spans="1:16">
      <c r="I68" s="1060" t="s">
        <v>1117</v>
      </c>
    </row>
    <row r="69" spans="1:16">
      <c r="A69" s="379" t="s">
        <v>666</v>
      </c>
      <c r="I69" s="379" t="s">
        <v>666</v>
      </c>
    </row>
    <row r="70" spans="1:16">
      <c r="A70" s="380" t="s">
        <v>1156</v>
      </c>
      <c r="I70" s="380" t="s">
        <v>1156</v>
      </c>
      <c r="J70" s="928"/>
    </row>
    <row r="71" spans="1:16">
      <c r="A71" s="379" t="s">
        <v>1157</v>
      </c>
      <c r="I71" s="379" t="s">
        <v>1157</v>
      </c>
    </row>
    <row r="72" spans="1:16">
      <c r="A72" s="379" t="s">
        <v>3</v>
      </c>
      <c r="I72" s="379" t="s">
        <v>3</v>
      </c>
    </row>
  </sheetData>
  <sheetProtection algorithmName="SHA-512" hashValue="S6nUq1QATOs6Rgf+F/Vwouq+l/TiluXgsR1i6Iad7La8p473yod24wFsHDGcKBTC4+iAtO/nwKznxkZI2+bZKw==" saltValue="rpsc3ISWHcF1fROdZzmTfA==" spinCount="100000" sheet="1" objects="1" scenarios="1"/>
  <dataConsolidate/>
  <mergeCells count="17">
    <mergeCell ref="A41:G45"/>
    <mergeCell ref="A47:G51"/>
    <mergeCell ref="A53:G57"/>
    <mergeCell ref="A59:G63"/>
    <mergeCell ref="I5:P5"/>
    <mergeCell ref="B4:B7"/>
    <mergeCell ref="D4:D7"/>
    <mergeCell ref="E4:E7"/>
    <mergeCell ref="F4:F7"/>
    <mergeCell ref="G4:G7"/>
    <mergeCell ref="J6:L6"/>
    <mergeCell ref="M6:O6"/>
    <mergeCell ref="R34:S34"/>
    <mergeCell ref="R35:S35"/>
    <mergeCell ref="J38:L38"/>
    <mergeCell ref="M38:O38"/>
    <mergeCell ref="I37:P37"/>
  </mergeCells>
  <dataValidations count="1">
    <dataValidation type="list" showInputMessage="1" showErrorMessage="1" sqref="C8:C37" xr:uid="{00000000-0002-0000-0D00-000000000000}">
      <formula1>$C$4:$C$7</formula1>
    </dataValidation>
  </dataValidations>
  <hyperlinks>
    <hyperlink ref="A70" r:id="rId1" display="wyomingelectrician@gmail.com" xr:uid="{00000000-0004-0000-0D00-000000000000}"/>
    <hyperlink ref="I70" r:id="rId2" display="wyomingelectrician@gmail.com" xr:uid="{00000000-0004-0000-0D00-000001000000}"/>
  </hyperlinks>
  <pageMargins left="0.7" right="0.7" top="0.75" bottom="0.75" header="0.3" footer="0.3"/>
  <pageSetup scale="76" fitToWidth="3" orientation="portrait" r:id="rId3"/>
  <colBreaks count="2" manualBreakCount="2">
    <brk id="8" max="71" man="1"/>
    <brk id="16" max="7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L99"/>
  <sheetViews>
    <sheetView zoomScaleNormal="100" workbookViewId="0">
      <selection activeCell="L72" sqref="L72"/>
    </sheetView>
  </sheetViews>
  <sheetFormatPr defaultColWidth="9.140625" defaultRowHeight="12.75"/>
  <cols>
    <col min="1" max="1" width="29.140625" style="1093" customWidth="1"/>
    <col min="2" max="2" width="8.5703125" style="987" customWidth="1"/>
    <col min="3" max="3" width="9.85546875" style="813" customWidth="1"/>
    <col min="4" max="4" width="6" style="988" bestFit="1" customWidth="1"/>
    <col min="5" max="5" width="2.28515625" style="813" customWidth="1"/>
    <col min="6" max="6" width="22.140625" style="813" bestFit="1" customWidth="1"/>
    <col min="7" max="7" width="10" style="985" customWidth="1"/>
    <col min="8" max="8" width="18.7109375" style="985" bestFit="1" customWidth="1"/>
    <col min="9" max="9" width="9" style="985" customWidth="1"/>
    <col min="10" max="10" width="10.28515625" style="813" customWidth="1"/>
    <col min="11" max="11" width="12.5703125" style="813" customWidth="1"/>
    <col min="12" max="12" width="9.140625" style="813" customWidth="1"/>
    <col min="13" max="13" width="9.140625" style="813"/>
    <col min="14" max="14" width="16.42578125" style="813" bestFit="1" customWidth="1"/>
    <col min="15" max="16384" width="9.140625" style="813"/>
  </cols>
  <sheetData>
    <row r="1" spans="1:10">
      <c r="A1" s="1093" t="s">
        <v>1023</v>
      </c>
      <c r="G1" s="1094" t="s">
        <v>1021</v>
      </c>
      <c r="H1" s="1271">
        <v>42692.611805555556</v>
      </c>
      <c r="I1" s="1271"/>
      <c r="J1" s="1271"/>
    </row>
    <row r="2" spans="1:10">
      <c r="H2" s="1095"/>
      <c r="I2" s="1095"/>
      <c r="J2" s="1095"/>
    </row>
    <row r="3" spans="1:10">
      <c r="A3" s="1093" t="s">
        <v>1024</v>
      </c>
      <c r="B3" s="1272" t="s">
        <v>1175</v>
      </c>
      <c r="C3" s="1272"/>
      <c r="D3" s="1272"/>
      <c r="E3" s="1272"/>
      <c r="F3" s="1272"/>
      <c r="G3" s="1272"/>
      <c r="H3" s="1272"/>
      <c r="I3" s="1272"/>
      <c r="J3" s="1272"/>
    </row>
    <row r="4" spans="1:10">
      <c r="B4" s="1272"/>
      <c r="C4" s="1272"/>
      <c r="D4" s="1272"/>
      <c r="E4" s="1272"/>
      <c r="F4" s="1272"/>
      <c r="G4" s="1272"/>
      <c r="H4" s="1272"/>
      <c r="I4" s="1272"/>
      <c r="J4" s="1272"/>
    </row>
    <row r="5" spans="1:10">
      <c r="B5" s="1096"/>
      <c r="C5" s="1096"/>
      <c r="D5" s="1096"/>
      <c r="E5" s="1096"/>
      <c r="F5" s="1096"/>
      <c r="G5" s="1096"/>
      <c r="H5" s="1097"/>
      <c r="I5" s="1097"/>
      <c r="J5" s="1097"/>
    </row>
    <row r="6" spans="1:10">
      <c r="A6" s="1093" t="s">
        <v>1056</v>
      </c>
      <c r="B6" s="1272" t="s">
        <v>1239</v>
      </c>
      <c r="C6" s="1272"/>
      <c r="D6" s="1272"/>
      <c r="E6" s="1272"/>
      <c r="F6" s="1272"/>
      <c r="G6" s="1272"/>
      <c r="H6" s="1272"/>
      <c r="I6" s="1272"/>
      <c r="J6" s="1272"/>
    </row>
    <row r="7" spans="1:10">
      <c r="B7" s="1272"/>
      <c r="C7" s="1272"/>
      <c r="D7" s="1272"/>
      <c r="E7" s="1272"/>
      <c r="F7" s="1272"/>
      <c r="G7" s="1272"/>
      <c r="H7" s="1272"/>
      <c r="I7" s="1272"/>
      <c r="J7" s="1272"/>
    </row>
    <row r="8" spans="1:10">
      <c r="H8" s="1098" t="s">
        <v>35</v>
      </c>
      <c r="I8" s="1098"/>
      <c r="J8" s="1098"/>
    </row>
    <row r="9" spans="1:10">
      <c r="A9" s="1269" t="s">
        <v>995</v>
      </c>
      <c r="B9" s="987" t="s">
        <v>1001</v>
      </c>
      <c r="C9" s="238">
        <v>475.4</v>
      </c>
      <c r="D9" s="988" t="s">
        <v>29</v>
      </c>
      <c r="E9" s="1099">
        <f>ABS(C9-$G$9)</f>
        <v>0.73333333333329165</v>
      </c>
      <c r="F9" s="1100" t="s">
        <v>1065</v>
      </c>
      <c r="G9" s="1101">
        <f>SUM(C9:C11)/3</f>
        <v>474.66666666666669</v>
      </c>
      <c r="H9" s="1259" t="s">
        <v>764</v>
      </c>
      <c r="I9" s="1259"/>
      <c r="J9" s="1259"/>
    </row>
    <row r="10" spans="1:10">
      <c r="A10" s="1269"/>
      <c r="B10" s="987" t="s">
        <v>999</v>
      </c>
      <c r="C10" s="238">
        <v>475.4</v>
      </c>
      <c r="D10" s="988" t="s">
        <v>29</v>
      </c>
      <c r="E10" s="1099">
        <f>ABS(C10-$G$9)</f>
        <v>0.73333333333329165</v>
      </c>
      <c r="F10" s="1100" t="s">
        <v>998</v>
      </c>
      <c r="G10" s="1102">
        <f>(MAX(E9:E11))/G9</f>
        <v>3.089887640449502E-3</v>
      </c>
      <c r="H10" s="1259"/>
      <c r="I10" s="1259"/>
      <c r="J10" s="1259"/>
    </row>
    <row r="11" spans="1:10">
      <c r="A11" s="1269"/>
      <c r="B11" s="987" t="s">
        <v>1000</v>
      </c>
      <c r="C11" s="238">
        <v>473.2</v>
      </c>
      <c r="D11" s="1103" t="s">
        <v>29</v>
      </c>
      <c r="E11" s="1099">
        <f>ABS(C11-$G$9)</f>
        <v>1.466666666666697</v>
      </c>
      <c r="F11" s="1100"/>
      <c r="G11" s="1101"/>
      <c r="H11" s="1259"/>
      <c r="I11" s="1259"/>
      <c r="J11" s="1259"/>
    </row>
    <row r="12" spans="1:10">
      <c r="E12" s="1099"/>
      <c r="F12" s="1100"/>
      <c r="G12" s="1101"/>
    </row>
    <row r="13" spans="1:10">
      <c r="A13" s="1270" t="s">
        <v>996</v>
      </c>
      <c r="B13" s="987" t="s">
        <v>992</v>
      </c>
      <c r="C13" s="238">
        <v>273.2</v>
      </c>
      <c r="D13" s="988" t="s">
        <v>29</v>
      </c>
      <c r="E13" s="1099">
        <f>ABS(C13-$G$13)</f>
        <v>1.4000000000000341</v>
      </c>
      <c r="F13" s="1100" t="s">
        <v>1066</v>
      </c>
      <c r="G13" s="1101">
        <f>SUM(C13:C15)/3</f>
        <v>271.79999999999995</v>
      </c>
      <c r="H13" s="1259" t="s">
        <v>764</v>
      </c>
      <c r="I13" s="1259"/>
      <c r="J13" s="1259"/>
    </row>
    <row r="14" spans="1:10">
      <c r="A14" s="1270"/>
      <c r="B14" s="987" t="s">
        <v>993</v>
      </c>
      <c r="C14" s="238">
        <v>272.89999999999998</v>
      </c>
      <c r="D14" s="988" t="s">
        <v>29</v>
      </c>
      <c r="E14" s="1099">
        <f>ABS(C14-$G$13)</f>
        <v>1.1000000000000227</v>
      </c>
      <c r="F14" s="1100" t="s">
        <v>998</v>
      </c>
      <c r="G14" s="1102">
        <f>(MAX(E13:E15))/G13</f>
        <v>9.1979396615156136E-3</v>
      </c>
      <c r="H14" s="1259"/>
      <c r="I14" s="1259"/>
      <c r="J14" s="1259"/>
    </row>
    <row r="15" spans="1:10">
      <c r="A15" s="1270"/>
      <c r="B15" s="987" t="s">
        <v>994</v>
      </c>
      <c r="C15" s="238">
        <v>269.3</v>
      </c>
      <c r="D15" s="988" t="s">
        <v>29</v>
      </c>
      <c r="E15" s="1099">
        <f>ABS(C15-$G$13)</f>
        <v>2.4999999999999432</v>
      </c>
      <c r="F15" s="1100"/>
      <c r="G15" s="1101"/>
      <c r="H15" s="1259"/>
      <c r="I15" s="1259"/>
      <c r="J15" s="1259"/>
    </row>
    <row r="16" spans="1:10">
      <c r="E16" s="1099"/>
      <c r="F16" s="1100"/>
      <c r="G16" s="1101"/>
    </row>
    <row r="17" spans="1:12">
      <c r="A17" s="1260" t="s">
        <v>1006</v>
      </c>
      <c r="B17" s="987" t="s">
        <v>992</v>
      </c>
      <c r="C17" s="238">
        <v>201</v>
      </c>
      <c r="D17" s="988" t="s">
        <v>74</v>
      </c>
      <c r="E17" s="1099">
        <f>ABS(C17-$G$17)</f>
        <v>0.33333333333334281</v>
      </c>
      <c r="F17" s="1100" t="s">
        <v>1067</v>
      </c>
      <c r="G17" s="1101">
        <f>SUM(C17:C19)/3</f>
        <v>201.33333333333334</v>
      </c>
      <c r="H17" s="1259" t="s">
        <v>1167</v>
      </c>
      <c r="I17" s="1259"/>
      <c r="J17" s="1259"/>
    </row>
    <row r="18" spans="1:12">
      <c r="A18" s="1260"/>
      <c r="B18" s="987" t="s">
        <v>993</v>
      </c>
      <c r="C18" s="238">
        <v>207</v>
      </c>
      <c r="D18" s="988" t="s">
        <v>74</v>
      </c>
      <c r="E18" s="1099">
        <f>ABS(C18-$G$17)</f>
        <v>5.6666666666666572</v>
      </c>
      <c r="F18" s="1100" t="s">
        <v>998</v>
      </c>
      <c r="G18" s="1102">
        <f>(MAX(E17:E19))/G17</f>
        <v>2.8145695364238364E-2</v>
      </c>
      <c r="H18" s="1259"/>
      <c r="I18" s="1259"/>
      <c r="J18" s="1259"/>
    </row>
    <row r="19" spans="1:12">
      <c r="A19" s="1260"/>
      <c r="B19" s="987" t="s">
        <v>994</v>
      </c>
      <c r="C19" s="238">
        <v>196</v>
      </c>
      <c r="D19" s="988" t="s">
        <v>74</v>
      </c>
      <c r="E19" s="1099">
        <f>ABS(C19-$G$17)</f>
        <v>5.3333333333333428</v>
      </c>
      <c r="F19" s="1100"/>
      <c r="G19" s="1101"/>
      <c r="H19" s="1259"/>
      <c r="I19" s="1259"/>
      <c r="J19" s="1259"/>
    </row>
    <row r="20" spans="1:12">
      <c r="E20" s="1104"/>
      <c r="F20" s="1100"/>
      <c r="G20" s="1101"/>
    </row>
    <row r="21" spans="1:12">
      <c r="A21" s="1105" t="s">
        <v>1064</v>
      </c>
      <c r="C21" s="238">
        <v>0</v>
      </c>
      <c r="D21" s="988" t="s">
        <v>1025</v>
      </c>
      <c r="E21" s="1104"/>
      <c r="F21" s="1106" t="s">
        <v>1232</v>
      </c>
      <c r="G21" s="1122">
        <f>G9*SQRT(2)</f>
        <v>671.28003760642923</v>
      </c>
      <c r="H21" s="1259" t="s">
        <v>1237</v>
      </c>
      <c r="I21" s="1259"/>
      <c r="J21" s="1259"/>
      <c r="K21" s="1107"/>
      <c r="L21" s="1107"/>
    </row>
    <row r="22" spans="1:12">
      <c r="E22" s="1104"/>
      <c r="F22" s="1100"/>
      <c r="G22" s="1101"/>
    </row>
    <row r="23" spans="1:12">
      <c r="A23" s="1108" t="s">
        <v>1022</v>
      </c>
      <c r="C23" s="238">
        <v>1515</v>
      </c>
      <c r="D23" s="988" t="s">
        <v>74</v>
      </c>
      <c r="E23" s="1104"/>
      <c r="F23" s="1100" t="s">
        <v>1071</v>
      </c>
      <c r="G23" s="1101">
        <f>C23/B74</f>
        <v>5.5291970802919712</v>
      </c>
      <c r="H23" s="1259" t="s">
        <v>1238</v>
      </c>
      <c r="I23" s="1259"/>
      <c r="J23" s="1259"/>
    </row>
    <row r="24" spans="1:12">
      <c r="E24" s="1109"/>
      <c r="F24" s="1100"/>
      <c r="G24" s="1101"/>
      <c r="L24" s="1107"/>
    </row>
    <row r="25" spans="1:12">
      <c r="A25" s="1105" t="s">
        <v>1057</v>
      </c>
      <c r="B25" s="987" t="s">
        <v>35</v>
      </c>
      <c r="C25" s="978">
        <v>460000</v>
      </c>
      <c r="D25" s="988" t="s">
        <v>144</v>
      </c>
      <c r="E25" s="1109"/>
      <c r="F25" s="1100"/>
      <c r="G25" s="1101"/>
      <c r="H25" s="1259"/>
      <c r="I25" s="1259"/>
      <c r="J25" s="1259"/>
      <c r="L25" s="1107"/>
    </row>
    <row r="26" spans="1:12">
      <c r="E26" s="1109"/>
      <c r="F26" s="1100"/>
      <c r="G26" s="1101"/>
      <c r="L26" s="1110"/>
    </row>
    <row r="27" spans="1:12">
      <c r="A27" s="1270" t="s">
        <v>1007</v>
      </c>
      <c r="B27" s="987" t="s">
        <v>992</v>
      </c>
      <c r="C27" s="978">
        <v>2200000000</v>
      </c>
      <c r="D27" s="988" t="s">
        <v>144</v>
      </c>
      <c r="E27" s="1099">
        <f>ABS(C27-$G$27)</f>
        <v>0</v>
      </c>
      <c r="F27" s="1100" t="s">
        <v>1069</v>
      </c>
      <c r="G27" s="1111">
        <f>SUM(C27:C29)/3</f>
        <v>2200000000</v>
      </c>
      <c r="H27" s="1259" t="s">
        <v>1058</v>
      </c>
      <c r="I27" s="1259"/>
      <c r="J27" s="1259"/>
      <c r="L27" s="1110"/>
    </row>
    <row r="28" spans="1:12">
      <c r="A28" s="1270"/>
      <c r="B28" s="987" t="s">
        <v>993</v>
      </c>
      <c r="C28" s="978">
        <v>2200000000</v>
      </c>
      <c r="D28" s="988" t="s">
        <v>144</v>
      </c>
      <c r="E28" s="1099">
        <f>ABS(C28-$G$27)</f>
        <v>0</v>
      </c>
      <c r="F28" s="1100" t="s">
        <v>998</v>
      </c>
      <c r="G28" s="1102">
        <f>(MAX(E27:E29))/G27</f>
        <v>0</v>
      </c>
      <c r="H28" s="1259"/>
      <c r="I28" s="1259"/>
      <c r="J28" s="1259"/>
      <c r="L28" s="1110"/>
    </row>
    <row r="29" spans="1:12">
      <c r="A29" s="1270"/>
      <c r="B29" s="987" t="s">
        <v>994</v>
      </c>
      <c r="C29" s="978">
        <v>2200000000</v>
      </c>
      <c r="D29" s="988" t="s">
        <v>144</v>
      </c>
      <c r="E29" s="1099">
        <f>ABS(C29-$G$27)</f>
        <v>0</v>
      </c>
      <c r="F29" s="1100"/>
      <c r="G29" s="1101"/>
      <c r="H29" s="1259"/>
      <c r="I29" s="1259"/>
      <c r="J29" s="1259"/>
      <c r="L29" s="1110"/>
    </row>
    <row r="30" spans="1:12">
      <c r="E30" s="1109"/>
      <c r="F30" s="1100"/>
      <c r="G30" s="1101"/>
      <c r="L30" s="1110"/>
    </row>
    <row r="31" spans="1:12">
      <c r="A31" s="1260" t="s">
        <v>1048</v>
      </c>
      <c r="B31" s="987" t="s">
        <v>992</v>
      </c>
      <c r="C31" s="978">
        <v>2200000000</v>
      </c>
      <c r="D31" s="988" t="s">
        <v>144</v>
      </c>
      <c r="E31" s="1099">
        <f>ABS(C31-$G$31)</f>
        <v>0</v>
      </c>
      <c r="F31" s="1100" t="s">
        <v>1069</v>
      </c>
      <c r="G31" s="1111">
        <f>SUM(C31:C33)/3</f>
        <v>2200000000</v>
      </c>
      <c r="H31" s="1259" t="s">
        <v>1058</v>
      </c>
      <c r="I31" s="1259"/>
      <c r="J31" s="1259"/>
      <c r="L31" s="1110"/>
    </row>
    <row r="32" spans="1:12">
      <c r="A32" s="1260"/>
      <c r="B32" s="987" t="s">
        <v>993</v>
      </c>
      <c r="C32" s="978">
        <v>2200000000</v>
      </c>
      <c r="D32" s="988" t="s">
        <v>144</v>
      </c>
      <c r="E32" s="1099">
        <f>ABS(C32-$G$31)</f>
        <v>0</v>
      </c>
      <c r="F32" s="1100" t="s">
        <v>998</v>
      </c>
      <c r="G32" s="1102">
        <f>(MAX(E31:E33))/G31</f>
        <v>0</v>
      </c>
      <c r="H32" s="1259"/>
      <c r="I32" s="1259"/>
      <c r="J32" s="1259"/>
      <c r="L32" s="1110"/>
    </row>
    <row r="33" spans="1:12">
      <c r="A33" s="1260"/>
      <c r="B33" s="987" t="s">
        <v>994</v>
      </c>
      <c r="C33" s="978">
        <v>2200000000</v>
      </c>
      <c r="D33" s="988" t="s">
        <v>144</v>
      </c>
      <c r="E33" s="1099">
        <f>ABS(C33-$G$31)</f>
        <v>0</v>
      </c>
      <c r="F33" s="1100"/>
      <c r="G33" s="1101"/>
      <c r="H33" s="1259"/>
      <c r="I33" s="1259"/>
      <c r="J33" s="1259"/>
      <c r="L33" s="1110"/>
    </row>
    <row r="34" spans="1:12">
      <c r="E34" s="1109"/>
      <c r="F34" s="1100"/>
      <c r="G34" s="1101"/>
      <c r="L34" s="1110"/>
    </row>
    <row r="35" spans="1:12">
      <c r="A35" s="1269" t="s">
        <v>1054</v>
      </c>
      <c r="B35" s="987" t="s">
        <v>992</v>
      </c>
      <c r="C35" s="978">
        <v>2200000000</v>
      </c>
      <c r="D35" s="988" t="s">
        <v>144</v>
      </c>
      <c r="E35" s="1099">
        <f>ABS(C35-$G$35)</f>
        <v>0</v>
      </c>
      <c r="F35" s="1100" t="s">
        <v>1069</v>
      </c>
      <c r="G35" s="1111">
        <f>SUM(C35:C37)/3</f>
        <v>2200000000</v>
      </c>
      <c r="H35" s="1259" t="s">
        <v>1055</v>
      </c>
      <c r="I35" s="1259"/>
      <c r="J35" s="1259"/>
      <c r="L35" s="1110"/>
    </row>
    <row r="36" spans="1:12">
      <c r="A36" s="1269"/>
      <c r="B36" s="987" t="s">
        <v>993</v>
      </c>
      <c r="C36" s="978">
        <v>2200000000</v>
      </c>
      <c r="D36" s="988" t="s">
        <v>144</v>
      </c>
      <c r="E36" s="1099">
        <f t="shared" ref="E36:E37" si="0">ABS(C36-$G$35)</f>
        <v>0</v>
      </c>
      <c r="F36" s="1100" t="s">
        <v>998</v>
      </c>
      <c r="G36" s="1102">
        <f>(MAX(E35:E37))/G35</f>
        <v>0</v>
      </c>
      <c r="H36" s="1259"/>
      <c r="I36" s="1259"/>
      <c r="J36" s="1259"/>
      <c r="L36" s="1110"/>
    </row>
    <row r="37" spans="1:12">
      <c r="A37" s="1269"/>
      <c r="B37" s="987" t="s">
        <v>994</v>
      </c>
      <c r="C37" s="978">
        <v>2200000000</v>
      </c>
      <c r="D37" s="988" t="s">
        <v>144</v>
      </c>
      <c r="E37" s="1099">
        <f t="shared" si="0"/>
        <v>0</v>
      </c>
      <c r="F37" s="1100"/>
      <c r="G37" s="1101"/>
      <c r="H37" s="1259"/>
      <c r="I37" s="1259"/>
      <c r="J37" s="1259"/>
      <c r="L37" s="1110"/>
    </row>
    <row r="38" spans="1:12">
      <c r="E38" s="1109"/>
      <c r="F38" s="1100"/>
      <c r="G38" s="1101"/>
      <c r="L38" s="1110"/>
    </row>
    <row r="39" spans="1:12">
      <c r="A39" s="1270" t="s">
        <v>1062</v>
      </c>
      <c r="B39" s="987" t="s">
        <v>1001</v>
      </c>
      <c r="C39" s="978">
        <v>0.15</v>
      </c>
      <c r="D39" s="988" t="s">
        <v>144</v>
      </c>
      <c r="E39" s="1099">
        <f>ABS(C39-$G$39)</f>
        <v>0</v>
      </c>
      <c r="F39" s="1100" t="s">
        <v>1070</v>
      </c>
      <c r="G39" s="1111">
        <f>SUM(C39:C41)/3</f>
        <v>0.15</v>
      </c>
      <c r="H39" s="1259" t="s">
        <v>1059</v>
      </c>
      <c r="I39" s="1259"/>
      <c r="J39" s="1259"/>
      <c r="L39" s="1110"/>
    </row>
    <row r="40" spans="1:12">
      <c r="A40" s="1270"/>
      <c r="B40" s="987" t="s">
        <v>999</v>
      </c>
      <c r="C40" s="978">
        <v>0.15</v>
      </c>
      <c r="D40" s="988" t="s">
        <v>144</v>
      </c>
      <c r="E40" s="1099">
        <f>ABS(C40-$G$39)</f>
        <v>0</v>
      </c>
      <c r="F40" s="1100" t="s">
        <v>998</v>
      </c>
      <c r="G40" s="1102">
        <f>(MAX(E39:E41))/G39</f>
        <v>0</v>
      </c>
      <c r="H40" s="1259"/>
      <c r="I40" s="1259"/>
      <c r="J40" s="1259"/>
      <c r="L40" s="1110"/>
    </row>
    <row r="41" spans="1:12">
      <c r="A41" s="1270"/>
      <c r="B41" s="987" t="s">
        <v>1000</v>
      </c>
      <c r="C41" s="978">
        <v>0.15</v>
      </c>
      <c r="D41" s="988" t="s">
        <v>144</v>
      </c>
      <c r="E41" s="1099">
        <f>ABS(C41-$G$39)</f>
        <v>0</v>
      </c>
      <c r="G41" s="1095"/>
      <c r="H41" s="1259"/>
      <c r="I41" s="1259"/>
      <c r="J41" s="1259"/>
      <c r="L41" s="1107"/>
    </row>
    <row r="42" spans="1:12">
      <c r="E42" s="1104"/>
      <c r="G42" s="1095"/>
      <c r="K42" s="1107"/>
      <c r="L42" s="1107"/>
    </row>
    <row r="43" spans="1:12">
      <c r="A43" s="1260" t="s">
        <v>1061</v>
      </c>
      <c r="B43" s="987" t="s">
        <v>1001</v>
      </c>
      <c r="C43" s="978">
        <v>0</v>
      </c>
      <c r="D43" s="988" t="s">
        <v>144</v>
      </c>
      <c r="E43" s="1099">
        <f>ABS(C43-$G$43)</f>
        <v>0</v>
      </c>
      <c r="F43" s="1100" t="s">
        <v>1070</v>
      </c>
      <c r="G43" s="1111">
        <f>SUM(C43:C45)/3</f>
        <v>0</v>
      </c>
      <c r="H43" s="1259" t="s">
        <v>1240</v>
      </c>
      <c r="I43" s="1259"/>
      <c r="J43" s="1259"/>
      <c r="L43" s="1110"/>
    </row>
    <row r="44" spans="1:12">
      <c r="A44" s="1260"/>
      <c r="B44" s="987" t="s">
        <v>999</v>
      </c>
      <c r="C44" s="978">
        <v>0</v>
      </c>
      <c r="D44" s="988" t="s">
        <v>144</v>
      </c>
      <c r="E44" s="1099">
        <f t="shared" ref="E44:E45" si="1">ABS(C44-$G$43)</f>
        <v>0</v>
      </c>
      <c r="F44" s="1100" t="s">
        <v>998</v>
      </c>
      <c r="G44" s="1102" t="e">
        <f>(MAX(E43:E45))/G43</f>
        <v>#DIV/0!</v>
      </c>
      <c r="H44" s="1259"/>
      <c r="I44" s="1259"/>
      <c r="J44" s="1259"/>
      <c r="L44" s="1110"/>
    </row>
    <row r="45" spans="1:12">
      <c r="A45" s="1260"/>
      <c r="B45" s="987" t="s">
        <v>1000</v>
      </c>
      <c r="C45" s="978">
        <v>0</v>
      </c>
      <c r="D45" s="988" t="s">
        <v>144</v>
      </c>
      <c r="E45" s="1099">
        <f t="shared" si="1"/>
        <v>0</v>
      </c>
      <c r="G45" s="1095"/>
      <c r="H45" s="1259"/>
      <c r="I45" s="1259"/>
      <c r="J45" s="1259"/>
      <c r="L45" s="1107"/>
    </row>
    <row r="46" spans="1:12">
      <c r="E46" s="1104"/>
      <c r="G46" s="1095"/>
      <c r="K46" s="1107"/>
      <c r="L46" s="1107"/>
    </row>
    <row r="47" spans="1:12">
      <c r="A47" s="1105" t="s">
        <v>1002</v>
      </c>
      <c r="C47" s="238">
        <v>132.5</v>
      </c>
      <c r="D47" s="988" t="s">
        <v>1025</v>
      </c>
      <c r="E47" s="1104"/>
      <c r="G47" s="1095"/>
      <c r="H47" s="1256"/>
      <c r="I47" s="1257"/>
      <c r="J47" s="1258"/>
      <c r="K47" s="1107"/>
      <c r="L47" s="1107"/>
    </row>
    <row r="48" spans="1:12">
      <c r="E48" s="1104"/>
      <c r="G48" s="1095"/>
      <c r="K48" s="1107"/>
      <c r="L48" s="1107"/>
    </row>
    <row r="49" spans="1:12">
      <c r="A49" s="1112" t="s">
        <v>1003</v>
      </c>
      <c r="B49" s="987" t="s">
        <v>1019</v>
      </c>
      <c r="C49" s="238">
        <v>472</v>
      </c>
      <c r="D49" s="988" t="s">
        <v>29</v>
      </c>
      <c r="E49" s="1104"/>
      <c r="F49" s="988" t="s">
        <v>1005</v>
      </c>
      <c r="G49" s="1113" t="str">
        <f>CONCATENATE(ROUND((MAX(C49:C50)/MIN(C49:C50)),1),":1")</f>
        <v>3.8:1</v>
      </c>
      <c r="H49" s="1273"/>
      <c r="I49" s="1273"/>
      <c r="J49" s="1273"/>
      <c r="K49" s="1107"/>
      <c r="L49" s="1107"/>
    </row>
    <row r="50" spans="1:12">
      <c r="A50" s="1108" t="s">
        <v>1004</v>
      </c>
      <c r="B50" s="987" t="s">
        <v>1020</v>
      </c>
      <c r="C50" s="238">
        <v>124</v>
      </c>
      <c r="D50" s="988" t="s">
        <v>29</v>
      </c>
      <c r="E50" s="1104"/>
      <c r="G50" s="1101"/>
      <c r="H50" s="1273"/>
      <c r="I50" s="1273"/>
      <c r="J50" s="1273"/>
      <c r="K50" s="1107"/>
      <c r="L50" s="1107"/>
    </row>
    <row r="51" spans="1:12">
      <c r="E51" s="1104"/>
      <c r="G51" s="1095"/>
      <c r="K51" s="1107"/>
      <c r="L51" s="1107"/>
    </row>
    <row r="52" spans="1:12">
      <c r="A52" s="1105" t="s">
        <v>1230</v>
      </c>
      <c r="C52" s="238">
        <v>1</v>
      </c>
      <c r="D52" s="1071" t="s">
        <v>614</v>
      </c>
      <c r="E52" s="1104"/>
      <c r="F52" s="813" t="s">
        <v>1231</v>
      </c>
      <c r="G52" s="1101">
        <f>(C52*1000)/C50</f>
        <v>8.064516129032258</v>
      </c>
      <c r="H52" s="1256" t="s">
        <v>1241</v>
      </c>
      <c r="I52" s="1257"/>
      <c r="J52" s="1258"/>
      <c r="K52" s="1107"/>
      <c r="L52" s="1107"/>
    </row>
    <row r="53" spans="1:12">
      <c r="E53" s="1104"/>
      <c r="G53" s="1095"/>
      <c r="K53" s="1107"/>
      <c r="L53" s="1107"/>
    </row>
    <row r="54" spans="1:12">
      <c r="A54" s="1105" t="s">
        <v>1168</v>
      </c>
      <c r="C54" s="238">
        <v>6.6</v>
      </c>
      <c r="D54" s="1062" t="s">
        <v>1169</v>
      </c>
      <c r="E54" s="1104"/>
      <c r="G54" s="1095"/>
      <c r="H54" s="1263"/>
      <c r="I54" s="1264"/>
      <c r="J54" s="1265"/>
      <c r="K54" s="1107"/>
      <c r="L54" s="1107"/>
    </row>
    <row r="55" spans="1:12">
      <c r="A55" s="1105" t="s">
        <v>1170</v>
      </c>
      <c r="C55" s="238">
        <v>0.1</v>
      </c>
      <c r="D55" s="1062" t="s">
        <v>1169</v>
      </c>
      <c r="E55" s="1104"/>
      <c r="G55" s="1095"/>
      <c r="H55" s="1266"/>
      <c r="I55" s="1267"/>
      <c r="J55" s="1268"/>
      <c r="K55" s="1107"/>
      <c r="L55" s="1107"/>
    </row>
    <row r="56" spans="1:12">
      <c r="E56" s="1104"/>
      <c r="G56" s="1101"/>
      <c r="H56" s="1114"/>
      <c r="I56" s="1114"/>
      <c r="J56" s="1114"/>
    </row>
    <row r="57" spans="1:12">
      <c r="A57" s="1269" t="s">
        <v>1045</v>
      </c>
      <c r="B57" s="987" t="s">
        <v>992</v>
      </c>
      <c r="C57" s="1063">
        <v>7.0000000000000001E-3</v>
      </c>
      <c r="D57" s="988" t="s">
        <v>1047</v>
      </c>
      <c r="E57" s="1115">
        <f>ABS(C57-$G$57)</f>
        <v>0</v>
      </c>
      <c r="F57" s="1100" t="s">
        <v>997</v>
      </c>
      <c r="G57" s="1116">
        <f>SUM(C57:C59)/3</f>
        <v>7.0000000000000001E-3</v>
      </c>
      <c r="H57" s="1259" t="s">
        <v>1176</v>
      </c>
      <c r="I57" s="1259"/>
      <c r="J57" s="1259"/>
    </row>
    <row r="58" spans="1:12">
      <c r="A58" s="1269"/>
      <c r="B58" s="987" t="s">
        <v>993</v>
      </c>
      <c r="C58" s="1063">
        <v>7.0000000000000001E-3</v>
      </c>
      <c r="D58" s="988" t="s">
        <v>1047</v>
      </c>
      <c r="E58" s="1115">
        <f t="shared" ref="E58:E59" si="2">ABS(C58-$G$57)</f>
        <v>0</v>
      </c>
      <c r="F58" s="1100" t="s">
        <v>998</v>
      </c>
      <c r="G58" s="1102">
        <f>(MAX(E57:E59))/G57</f>
        <v>0</v>
      </c>
      <c r="H58" s="1259"/>
      <c r="I58" s="1259"/>
      <c r="J58" s="1259"/>
    </row>
    <row r="59" spans="1:12">
      <c r="A59" s="1269"/>
      <c r="B59" s="987" t="s">
        <v>994</v>
      </c>
      <c r="C59" s="1063">
        <v>7.0000000000000001E-3</v>
      </c>
      <c r="D59" s="988" t="s">
        <v>1047</v>
      </c>
      <c r="E59" s="1115">
        <f t="shared" si="2"/>
        <v>0</v>
      </c>
      <c r="F59" s="1100"/>
      <c r="G59" s="1101"/>
      <c r="H59" s="1259"/>
      <c r="I59" s="1259"/>
      <c r="J59" s="1259"/>
    </row>
    <row r="60" spans="1:12">
      <c r="E60" s="1115"/>
      <c r="F60" s="1100"/>
      <c r="G60" s="1101"/>
    </row>
    <row r="61" spans="1:12">
      <c r="A61" s="1270" t="s">
        <v>1046</v>
      </c>
      <c r="B61" s="987" t="s">
        <v>992</v>
      </c>
      <c r="C61" s="1063">
        <v>0.02</v>
      </c>
      <c r="D61" s="988" t="s">
        <v>1047</v>
      </c>
      <c r="E61" s="1115">
        <f>ABS(C61-$G$61)</f>
        <v>6.666666666666661E-4</v>
      </c>
      <c r="F61" s="1100" t="s">
        <v>997</v>
      </c>
      <c r="G61" s="1116">
        <f>SUM(C61:C63)/3</f>
        <v>2.0666666666666667E-2</v>
      </c>
      <c r="H61" s="1259" t="s">
        <v>1176</v>
      </c>
      <c r="I61" s="1259"/>
      <c r="J61" s="1259"/>
    </row>
    <row r="62" spans="1:12">
      <c r="A62" s="1270"/>
      <c r="B62" s="987" t="s">
        <v>993</v>
      </c>
      <c r="C62" s="1063">
        <v>0.02</v>
      </c>
      <c r="D62" s="988" t="s">
        <v>1047</v>
      </c>
      <c r="E62" s="1115">
        <f t="shared" ref="E62:E63" si="3">ABS(C62-$G$61)</f>
        <v>6.666666666666661E-4</v>
      </c>
      <c r="F62" s="1100" t="s">
        <v>998</v>
      </c>
      <c r="G62" s="1102">
        <f>(MAX(E61:E63))/G61</f>
        <v>6.4516129032258007E-2</v>
      </c>
      <c r="H62" s="1259"/>
      <c r="I62" s="1259"/>
      <c r="J62" s="1259"/>
    </row>
    <row r="63" spans="1:12">
      <c r="A63" s="1270"/>
      <c r="B63" s="987" t="s">
        <v>994</v>
      </c>
      <c r="C63" s="1063">
        <v>2.1999999999999999E-2</v>
      </c>
      <c r="D63" s="988" t="s">
        <v>1047</v>
      </c>
      <c r="E63" s="1115">
        <f t="shared" si="3"/>
        <v>1.3333333333333322E-3</v>
      </c>
      <c r="F63" s="1100"/>
      <c r="G63" s="1101"/>
      <c r="H63" s="1259"/>
      <c r="I63" s="1259"/>
      <c r="J63" s="1259"/>
    </row>
    <row r="64" spans="1:12">
      <c r="E64" s="1104"/>
      <c r="G64" s="1095"/>
      <c r="H64" s="1114"/>
      <c r="I64" s="1114"/>
      <c r="J64" s="1114"/>
    </row>
    <row r="65" spans="1:10">
      <c r="A65" s="1260" t="s">
        <v>1049</v>
      </c>
      <c r="B65" s="987" t="s">
        <v>992</v>
      </c>
      <c r="C65" s="980">
        <v>0.89</v>
      </c>
      <c r="D65" s="988" t="s">
        <v>611</v>
      </c>
      <c r="E65" s="1117">
        <f>ABS(C65-$G$65)</f>
        <v>1.3333333333333419E-2</v>
      </c>
      <c r="F65" s="1100" t="s">
        <v>997</v>
      </c>
      <c r="G65" s="1118">
        <f>SUM(C65:C67)/3</f>
        <v>0.87666666666666659</v>
      </c>
      <c r="H65" s="1259" t="s">
        <v>1176</v>
      </c>
      <c r="I65" s="1259"/>
      <c r="J65" s="1259"/>
    </row>
    <row r="66" spans="1:10">
      <c r="A66" s="1260"/>
      <c r="B66" s="987" t="s">
        <v>993</v>
      </c>
      <c r="C66" s="980">
        <v>0.86</v>
      </c>
      <c r="D66" s="988" t="s">
        <v>611</v>
      </c>
      <c r="E66" s="1117">
        <f t="shared" ref="E66:E67" si="4">ABS(C66-$G$65)</f>
        <v>1.6666666666666607E-2</v>
      </c>
      <c r="F66" s="1100" t="s">
        <v>998</v>
      </c>
      <c r="G66" s="1102">
        <f>(MAX(E65:E67))/G65</f>
        <v>1.9011406844106397E-2</v>
      </c>
      <c r="H66" s="1259"/>
      <c r="I66" s="1259"/>
      <c r="J66" s="1259"/>
    </row>
    <row r="67" spans="1:10">
      <c r="A67" s="1260"/>
      <c r="B67" s="987" t="s">
        <v>994</v>
      </c>
      <c r="C67" s="980">
        <v>0.88</v>
      </c>
      <c r="D67" s="988" t="s">
        <v>611</v>
      </c>
      <c r="E67" s="1117">
        <f t="shared" si="4"/>
        <v>3.3333333333334103E-3</v>
      </c>
      <c r="F67" s="1100"/>
      <c r="G67" s="1101"/>
      <c r="H67" s="1259"/>
      <c r="I67" s="1259"/>
      <c r="J67" s="1259"/>
    </row>
    <row r="68" spans="1:10">
      <c r="E68" s="1119"/>
      <c r="F68" s="1100"/>
      <c r="G68" s="1120"/>
    </row>
    <row r="69" spans="1:10">
      <c r="A69" s="1093" t="s">
        <v>1008</v>
      </c>
      <c r="B69" s="1262" t="s">
        <v>1017</v>
      </c>
      <c r="C69" s="1262"/>
      <c r="D69" s="1262"/>
      <c r="E69" s="1262"/>
      <c r="F69" s="1262"/>
      <c r="H69" s="1261" t="s">
        <v>1171</v>
      </c>
      <c r="I69" s="1261"/>
      <c r="J69" s="1261"/>
    </row>
    <row r="70" spans="1:10">
      <c r="A70" s="1093" t="s">
        <v>1009</v>
      </c>
      <c r="B70" s="1262" t="s">
        <v>1172</v>
      </c>
      <c r="C70" s="1262"/>
      <c r="D70" s="1262"/>
      <c r="E70" s="1262"/>
      <c r="F70" s="1262"/>
      <c r="H70" s="1261"/>
      <c r="I70" s="1261"/>
      <c r="J70" s="1261"/>
    </row>
    <row r="71" spans="1:10">
      <c r="A71" s="1093" t="s">
        <v>1010</v>
      </c>
      <c r="B71" s="1262" t="s">
        <v>35</v>
      </c>
      <c r="C71" s="1262"/>
      <c r="D71" s="1262"/>
      <c r="E71" s="1262"/>
      <c r="F71" s="1262"/>
      <c r="H71" s="1261"/>
      <c r="I71" s="1261"/>
      <c r="J71" s="1261"/>
    </row>
    <row r="72" spans="1:10">
      <c r="A72" s="1093" t="s">
        <v>252</v>
      </c>
      <c r="B72" s="1262">
        <v>250</v>
      </c>
      <c r="C72" s="1262"/>
      <c r="D72" s="1262"/>
      <c r="E72" s="1262"/>
      <c r="F72" s="1262"/>
      <c r="G72" s="985" t="s">
        <v>35</v>
      </c>
      <c r="H72" s="1261"/>
      <c r="I72" s="1261"/>
      <c r="J72" s="1261"/>
    </row>
    <row r="73" spans="1:10">
      <c r="A73" s="1093" t="s">
        <v>29</v>
      </c>
      <c r="B73" s="1262">
        <v>460</v>
      </c>
      <c r="C73" s="1262"/>
      <c r="D73" s="1262"/>
      <c r="E73" s="1262"/>
      <c r="F73" s="1262"/>
      <c r="H73" s="1261"/>
      <c r="I73" s="1261"/>
      <c r="J73" s="1261"/>
    </row>
    <row r="74" spans="1:10">
      <c r="A74" s="1093" t="s">
        <v>74</v>
      </c>
      <c r="B74" s="1262">
        <v>274</v>
      </c>
      <c r="C74" s="1262"/>
      <c r="D74" s="1262"/>
      <c r="E74" s="1262"/>
      <c r="F74" s="1262"/>
      <c r="H74" s="1261"/>
      <c r="I74" s="1261"/>
      <c r="J74" s="1261"/>
    </row>
    <row r="75" spans="1:10">
      <c r="A75" s="1093" t="s">
        <v>758</v>
      </c>
      <c r="B75" s="1262">
        <v>1785</v>
      </c>
      <c r="C75" s="1262"/>
      <c r="D75" s="1262"/>
      <c r="E75" s="1262"/>
      <c r="F75" s="1262"/>
      <c r="H75" s="1261"/>
      <c r="I75" s="1261"/>
      <c r="J75" s="1261"/>
    </row>
    <row r="76" spans="1:10">
      <c r="A76" s="1093" t="s">
        <v>1011</v>
      </c>
      <c r="B76" s="1262" t="s">
        <v>1173</v>
      </c>
      <c r="C76" s="1262"/>
      <c r="D76" s="1262"/>
      <c r="E76" s="1262"/>
      <c r="F76" s="1262"/>
      <c r="H76" s="1261"/>
      <c r="I76" s="1261"/>
      <c r="J76" s="1261"/>
    </row>
    <row r="77" spans="1:10">
      <c r="A77" s="1093" t="s">
        <v>772</v>
      </c>
      <c r="B77" s="1262">
        <v>60</v>
      </c>
      <c r="C77" s="1262"/>
      <c r="D77" s="1262"/>
      <c r="E77" s="1262"/>
      <c r="F77" s="1262"/>
      <c r="H77" s="1261"/>
      <c r="I77" s="1261"/>
      <c r="J77" s="1261"/>
    </row>
    <row r="78" spans="1:10">
      <c r="A78" s="1093" t="s">
        <v>25</v>
      </c>
      <c r="B78" s="1262">
        <v>3</v>
      </c>
      <c r="C78" s="1262"/>
      <c r="D78" s="1262"/>
      <c r="E78" s="1262"/>
      <c r="F78" s="1262"/>
      <c r="H78" s="1261"/>
      <c r="I78" s="1261"/>
      <c r="J78" s="1261"/>
    </row>
    <row r="79" spans="1:10">
      <c r="A79" s="1093" t="s">
        <v>1012</v>
      </c>
      <c r="B79" s="1262">
        <v>1.1499999999999999</v>
      </c>
      <c r="C79" s="1262"/>
      <c r="D79" s="1262"/>
      <c r="E79" s="1262"/>
      <c r="F79" s="1262"/>
      <c r="H79" s="1261"/>
      <c r="I79" s="1261"/>
      <c r="J79" s="1261"/>
    </row>
    <row r="80" spans="1:10">
      <c r="A80" s="1093" t="s">
        <v>1013</v>
      </c>
      <c r="B80" s="1262"/>
      <c r="C80" s="1262"/>
      <c r="D80" s="1262"/>
      <c r="E80" s="1262"/>
      <c r="F80" s="1262"/>
      <c r="H80" s="1261"/>
      <c r="I80" s="1261"/>
      <c r="J80" s="1261"/>
    </row>
    <row r="81" spans="1:10">
      <c r="A81" s="1093" t="s">
        <v>895</v>
      </c>
      <c r="B81" s="1262" t="s">
        <v>897</v>
      </c>
      <c r="C81" s="1262"/>
      <c r="D81" s="1262"/>
      <c r="E81" s="1262"/>
      <c r="F81" s="1262"/>
      <c r="H81" s="1261"/>
      <c r="I81" s="1261"/>
      <c r="J81" s="1261"/>
    </row>
    <row r="82" spans="1:10">
      <c r="A82" s="1093" t="s">
        <v>612</v>
      </c>
      <c r="B82" s="1262">
        <v>0.95</v>
      </c>
      <c r="C82" s="1262"/>
      <c r="D82" s="1262"/>
      <c r="E82" s="1262"/>
      <c r="F82" s="1262"/>
      <c r="H82" s="1261"/>
      <c r="I82" s="1261"/>
      <c r="J82" s="1261"/>
    </row>
    <row r="83" spans="1:10">
      <c r="A83" s="1093" t="s">
        <v>611</v>
      </c>
      <c r="B83" s="1262">
        <v>0.89100000000000001</v>
      </c>
      <c r="C83" s="1262"/>
      <c r="D83" s="1262"/>
      <c r="E83" s="1262"/>
      <c r="F83" s="1262"/>
      <c r="H83" s="1261"/>
      <c r="I83" s="1261"/>
      <c r="J83" s="1261"/>
    </row>
    <row r="84" spans="1:10">
      <c r="A84" s="1093" t="s">
        <v>1014</v>
      </c>
      <c r="B84" s="1262" t="s">
        <v>1018</v>
      </c>
      <c r="C84" s="1262"/>
      <c r="D84" s="1262"/>
      <c r="E84" s="1262"/>
      <c r="F84" s="1262"/>
      <c r="H84" s="1261"/>
      <c r="I84" s="1261"/>
      <c r="J84" s="1261"/>
    </row>
    <row r="85" spans="1:10">
      <c r="A85" s="1093" t="s">
        <v>1015</v>
      </c>
      <c r="B85" s="1262"/>
      <c r="C85" s="1262"/>
      <c r="D85" s="1262"/>
      <c r="E85" s="1262"/>
      <c r="F85" s="1262"/>
      <c r="H85" s="1261"/>
      <c r="I85" s="1261"/>
      <c r="J85" s="1261"/>
    </row>
    <row r="86" spans="1:10">
      <c r="A86" s="1093" t="s">
        <v>1016</v>
      </c>
      <c r="B86" s="1262" t="s">
        <v>1174</v>
      </c>
      <c r="C86" s="1262"/>
      <c r="D86" s="1262"/>
      <c r="E86" s="1262"/>
      <c r="F86" s="1262"/>
      <c r="H86" s="1261"/>
      <c r="I86" s="1261"/>
      <c r="J86" s="1261"/>
    </row>
    <row r="87" spans="1:10">
      <c r="B87" s="984"/>
      <c r="C87" s="984"/>
      <c r="D87" s="984"/>
      <c r="E87" s="984"/>
      <c r="F87" s="984"/>
      <c r="H87" s="986"/>
      <c r="I87" s="1121"/>
      <c r="J87" s="1110"/>
    </row>
    <row r="88" spans="1:10">
      <c r="A88" s="1093" t="s">
        <v>1072</v>
      </c>
      <c r="B88" s="984"/>
      <c r="C88" s="984"/>
      <c r="D88" s="984"/>
      <c r="E88" s="984"/>
      <c r="F88" s="1072" t="s">
        <v>1068</v>
      </c>
      <c r="H88" s="986"/>
      <c r="I88" s="1121"/>
      <c r="J88" s="1110"/>
    </row>
    <row r="89" spans="1:10">
      <c r="A89" s="1092" t="s">
        <v>1063</v>
      </c>
      <c r="B89" s="989">
        <f>B72*0.746</f>
        <v>186.5</v>
      </c>
      <c r="C89" s="984"/>
      <c r="D89" s="984"/>
      <c r="E89" s="984"/>
      <c r="F89" s="1073">
        <f>G89</f>
        <v>9.9999999999999998E-13</v>
      </c>
      <c r="G89" s="1074">
        <v>9.9999999999999998E-13</v>
      </c>
      <c r="H89" s="1075" t="s">
        <v>1131</v>
      </c>
      <c r="I89" s="1121"/>
      <c r="J89" s="1110"/>
    </row>
    <row r="90" spans="1:10">
      <c r="A90" s="1092" t="s">
        <v>1052</v>
      </c>
      <c r="B90" s="989">
        <f>B74*1.15</f>
        <v>315.09999999999997</v>
      </c>
      <c r="C90" s="984"/>
      <c r="D90" s="984"/>
      <c r="E90" s="984"/>
      <c r="F90" s="1076">
        <f>G90</f>
        <v>1.0000000000000001E-9</v>
      </c>
      <c r="G90" s="1077">
        <v>1.0000000000000001E-9</v>
      </c>
      <c r="H90" s="1078" t="s">
        <v>1130</v>
      </c>
      <c r="I90" s="1121"/>
      <c r="J90" s="1110"/>
    </row>
    <row r="91" spans="1:10">
      <c r="A91" s="1092" t="s">
        <v>1050</v>
      </c>
      <c r="B91" s="989">
        <f>B74*1.25</f>
        <v>342.5</v>
      </c>
      <c r="C91" s="984"/>
      <c r="D91" s="984"/>
      <c r="E91" s="984"/>
      <c r="F91" s="1079">
        <f t="shared" ref="F91:F97" si="5">G91</f>
        <v>9.9999999999999995E-7</v>
      </c>
      <c r="G91" s="1077">
        <v>9.9999999999999995E-7</v>
      </c>
      <c r="H91" s="1078" t="s">
        <v>1128</v>
      </c>
      <c r="I91" s="1121"/>
      <c r="J91" s="1110"/>
    </row>
    <row r="92" spans="1:10">
      <c r="A92" s="1092" t="s">
        <v>1051</v>
      </c>
      <c r="B92" s="989">
        <f>B74*1.4</f>
        <v>383.59999999999997</v>
      </c>
      <c r="C92" s="984"/>
      <c r="D92" s="984"/>
      <c r="E92" s="984"/>
      <c r="F92" s="1080">
        <f t="shared" si="5"/>
        <v>1E-3</v>
      </c>
      <c r="G92" s="1077">
        <v>1E-3</v>
      </c>
      <c r="H92" s="1078" t="s">
        <v>1127</v>
      </c>
      <c r="I92" s="1121"/>
      <c r="J92" s="1110"/>
    </row>
    <row r="93" spans="1:10">
      <c r="A93" s="1092" t="s">
        <v>1053</v>
      </c>
      <c r="B93" s="989">
        <f>B79*B74</f>
        <v>315.09999999999997</v>
      </c>
      <c r="D93" s="984"/>
      <c r="E93" s="984"/>
      <c r="F93" s="1081">
        <f t="shared" si="5"/>
        <v>1</v>
      </c>
      <c r="G93" s="1077">
        <v>1</v>
      </c>
      <c r="H93" s="1078" t="s">
        <v>1123</v>
      </c>
      <c r="I93" s="1121"/>
      <c r="J93" s="1110"/>
    </row>
    <row r="94" spans="1:10">
      <c r="D94" s="984"/>
      <c r="E94" s="984"/>
      <c r="F94" s="1081">
        <f t="shared" si="5"/>
        <v>1000</v>
      </c>
      <c r="G94" s="1077">
        <v>1000</v>
      </c>
      <c r="H94" s="1078" t="s">
        <v>1124</v>
      </c>
      <c r="I94" s="1121"/>
      <c r="J94" s="1110"/>
    </row>
    <row r="95" spans="1:10">
      <c r="A95" s="982" t="s">
        <v>666</v>
      </c>
      <c r="F95" s="1081">
        <f t="shared" si="5"/>
        <v>1000000</v>
      </c>
      <c r="G95" s="1077">
        <v>1000000</v>
      </c>
      <c r="H95" s="1075" t="s">
        <v>1125</v>
      </c>
    </row>
    <row r="96" spans="1:10">
      <c r="A96" s="983" t="s">
        <v>1236</v>
      </c>
      <c r="F96" s="1081">
        <f t="shared" si="5"/>
        <v>1000000000</v>
      </c>
      <c r="G96" s="1077">
        <v>1000000000</v>
      </c>
      <c r="H96" s="1075" t="s">
        <v>1129</v>
      </c>
    </row>
    <row r="97" spans="1:8">
      <c r="A97" s="814" t="s">
        <v>763</v>
      </c>
      <c r="F97" s="1081">
        <f t="shared" si="5"/>
        <v>1000000000000</v>
      </c>
      <c r="G97" s="1077">
        <v>1000000000000</v>
      </c>
      <c r="H97" s="1075" t="s">
        <v>1126</v>
      </c>
    </row>
    <row r="98" spans="1:8">
      <c r="A98" s="982" t="s">
        <v>766</v>
      </c>
    </row>
    <row r="99" spans="1:8">
      <c r="A99" s="982" t="s">
        <v>3</v>
      </c>
    </row>
  </sheetData>
  <sheetProtection algorithmName="SHA-512" hashValue="2mhHLxC4iiVPY32uBxJwRe8YoOa13mLEUpOQTcLugMaY8aU6Tch3I+RxueRbUIhx/eG6NPmp1sDE0lY1VfNNLg==" saltValue="Fofyk7jAoxN+NhE/So1l9Q==" spinCount="100000" sheet="1" objects="1" scenarios="1"/>
  <mergeCells count="51">
    <mergeCell ref="H43:J45"/>
    <mergeCell ref="A35:A37"/>
    <mergeCell ref="H35:J37"/>
    <mergeCell ref="B83:F83"/>
    <mergeCell ref="B76:F76"/>
    <mergeCell ref="B77:F77"/>
    <mergeCell ref="B78:F78"/>
    <mergeCell ref="B79:F79"/>
    <mergeCell ref="B80:F80"/>
    <mergeCell ref="A39:A41"/>
    <mergeCell ref="H49:J50"/>
    <mergeCell ref="H47:J47"/>
    <mergeCell ref="B82:F82"/>
    <mergeCell ref="B71:F71"/>
    <mergeCell ref="B72:F72"/>
    <mergeCell ref="B73:F73"/>
    <mergeCell ref="H27:J29"/>
    <mergeCell ref="H31:J33"/>
    <mergeCell ref="H39:J41"/>
    <mergeCell ref="H25:J25"/>
    <mergeCell ref="A27:A29"/>
    <mergeCell ref="A31:A33"/>
    <mergeCell ref="B74:F74"/>
    <mergeCell ref="B75:F75"/>
    <mergeCell ref="A9:A11"/>
    <mergeCell ref="A13:A15"/>
    <mergeCell ref="A17:A19"/>
    <mergeCell ref="A43:A45"/>
    <mergeCell ref="H1:J1"/>
    <mergeCell ref="H21:J21"/>
    <mergeCell ref="B3:J4"/>
    <mergeCell ref="H9:J11"/>
    <mergeCell ref="B6:J7"/>
    <mergeCell ref="H13:J15"/>
    <mergeCell ref="H17:J19"/>
    <mergeCell ref="H52:J52"/>
    <mergeCell ref="H23:J23"/>
    <mergeCell ref="A65:A67"/>
    <mergeCell ref="H65:J67"/>
    <mergeCell ref="H69:J86"/>
    <mergeCell ref="B84:F84"/>
    <mergeCell ref="B85:F85"/>
    <mergeCell ref="B86:F86"/>
    <mergeCell ref="H54:J55"/>
    <mergeCell ref="A57:A59"/>
    <mergeCell ref="H57:J59"/>
    <mergeCell ref="A61:A63"/>
    <mergeCell ref="H61:J63"/>
    <mergeCell ref="B69:F69"/>
    <mergeCell ref="B70:F70"/>
    <mergeCell ref="B81:F81"/>
  </mergeCells>
  <hyperlinks>
    <hyperlink ref="A96" r:id="rId1" display="wyomingelectrician@gmail.com" xr:uid="{00000000-0004-0000-0E00-000000000000}"/>
  </hyperlinks>
  <pageMargins left="0.7" right="0.7" top="0.75" bottom="0.75" header="0.3" footer="0.3"/>
  <pageSetup scale="97" fitToHeight="3" orientation="landscape" r:id="rId2"/>
  <headerFooter>
    <oddFooter>&amp;A&amp;RPage &amp;P</oddFooter>
  </headerFooter>
  <rowBreaks count="2" manualBreakCount="2">
    <brk id="33" max="9" man="1"/>
    <brk id="67" max="9"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J124"/>
  <sheetViews>
    <sheetView topLeftCell="A100" zoomScaleNormal="100" workbookViewId="0">
      <selection activeCell="G124" sqref="G124"/>
    </sheetView>
  </sheetViews>
  <sheetFormatPr defaultColWidth="9.140625" defaultRowHeight="12.75"/>
  <cols>
    <col min="1" max="1" width="34.42578125" style="1065" customWidth="1"/>
    <col min="2" max="2" width="26.140625" style="1065" bestFit="1" customWidth="1"/>
    <col min="3" max="3" width="20.28515625" style="1066" bestFit="1" customWidth="1"/>
    <col min="4" max="4" width="10.85546875" style="1067" bestFit="1" customWidth="1"/>
    <col min="5" max="5" width="5.5703125" style="971" bestFit="1" customWidth="1"/>
    <col min="6" max="16384" width="9.140625" style="971"/>
  </cols>
  <sheetData>
    <row r="1" spans="1:9">
      <c r="A1" s="1069" t="s">
        <v>1228</v>
      </c>
      <c r="B1" s="970"/>
      <c r="C1" s="971"/>
      <c r="D1" s="972"/>
      <c r="G1" s="973" t="s">
        <v>1021</v>
      </c>
      <c r="H1" s="1271">
        <v>42705.458333333336</v>
      </c>
      <c r="I1" s="1271"/>
    </row>
    <row r="2" spans="1:9">
      <c r="A2" s="969"/>
      <c r="B2" s="970"/>
      <c r="C2" s="971"/>
      <c r="D2" s="972"/>
      <c r="G2" s="974"/>
      <c r="H2" s="975"/>
      <c r="I2" s="975"/>
    </row>
    <row r="3" spans="1:9">
      <c r="A3" s="969" t="s">
        <v>1024</v>
      </c>
      <c r="B3" s="1272" t="s">
        <v>1225</v>
      </c>
      <c r="C3" s="1272"/>
      <c r="D3" s="1272"/>
      <c r="E3" s="1272"/>
      <c r="F3" s="1272"/>
      <c r="G3" s="1272"/>
      <c r="H3" s="1272"/>
      <c r="I3" s="1272"/>
    </row>
    <row r="4" spans="1:9">
      <c r="A4" s="969"/>
      <c r="B4" s="1272"/>
      <c r="C4" s="1272"/>
      <c r="D4" s="1272"/>
      <c r="E4" s="1272"/>
      <c r="F4" s="1272"/>
      <c r="G4" s="1272"/>
      <c r="H4" s="1272"/>
      <c r="I4" s="1272"/>
    </row>
    <row r="5" spans="1:9">
      <c r="A5" s="969"/>
      <c r="B5" s="976"/>
      <c r="C5" s="976"/>
      <c r="D5" s="976"/>
      <c r="E5" s="976"/>
      <c r="F5" s="976"/>
      <c r="G5" s="976"/>
      <c r="H5" s="977"/>
      <c r="I5" s="977"/>
    </row>
    <row r="6" spans="1:9">
      <c r="A6" s="969" t="s">
        <v>1056</v>
      </c>
      <c r="B6" s="1272" t="s">
        <v>1060</v>
      </c>
      <c r="C6" s="1272"/>
      <c r="D6" s="1272"/>
      <c r="E6" s="1272"/>
      <c r="F6" s="1272"/>
      <c r="G6" s="1272"/>
      <c r="H6" s="1272"/>
      <c r="I6" s="1272"/>
    </row>
    <row r="7" spans="1:9">
      <c r="A7" s="969"/>
      <c r="B7" s="1272"/>
      <c r="C7" s="1272"/>
      <c r="D7" s="1272"/>
      <c r="E7" s="1272"/>
      <c r="F7" s="1272"/>
      <c r="G7" s="1272"/>
      <c r="H7" s="1272"/>
      <c r="I7" s="1272"/>
    </row>
    <row r="8" spans="1:9">
      <c r="A8" s="1069"/>
    </row>
    <row r="9" spans="1:9">
      <c r="A9" s="1082" t="s">
        <v>1234</v>
      </c>
      <c r="B9" s="1083"/>
      <c r="C9" s="1084"/>
      <c r="D9" s="1085"/>
      <c r="E9" s="813"/>
    </row>
    <row r="10" spans="1:9">
      <c r="A10" s="1082" t="s">
        <v>1233</v>
      </c>
      <c r="B10" s="1083"/>
      <c r="C10" s="1084"/>
      <c r="D10" s="1085"/>
      <c r="E10" s="813"/>
    </row>
    <row r="11" spans="1:9">
      <c r="A11" s="1082"/>
      <c r="B11" s="1083"/>
      <c r="C11" s="1084"/>
      <c r="D11" s="1085"/>
      <c r="E11" s="813"/>
    </row>
    <row r="12" spans="1:9">
      <c r="A12" s="1086" t="s">
        <v>1177</v>
      </c>
      <c r="B12" s="1083"/>
      <c r="C12" s="1084"/>
      <c r="D12" s="1085"/>
      <c r="E12" s="813"/>
    </row>
    <row r="13" spans="1:9">
      <c r="A13" s="1082"/>
      <c r="B13" s="1083"/>
      <c r="C13" s="1084"/>
      <c r="D13" s="1085"/>
      <c r="E13" s="813"/>
    </row>
    <row r="14" spans="1:9">
      <c r="A14" s="1082" t="s">
        <v>1178</v>
      </c>
      <c r="B14" s="1083"/>
      <c r="C14" s="1087" t="s">
        <v>1218</v>
      </c>
      <c r="D14" s="1085"/>
      <c r="E14" s="813"/>
    </row>
    <row r="15" spans="1:9">
      <c r="A15" s="1083"/>
      <c r="B15" s="1083"/>
      <c r="C15" s="1084" t="s">
        <v>1179</v>
      </c>
      <c r="D15" s="1085" t="s">
        <v>1180</v>
      </c>
      <c r="E15" s="813"/>
    </row>
    <row r="16" spans="1:9">
      <c r="A16" s="1088" t="s">
        <v>1181</v>
      </c>
      <c r="B16" s="1088" t="s">
        <v>1182</v>
      </c>
      <c r="C16" s="1089">
        <v>0</v>
      </c>
      <c r="D16" s="1068">
        <v>0</v>
      </c>
      <c r="E16" s="813"/>
      <c r="F16" s="1274" t="s">
        <v>0</v>
      </c>
      <c r="G16" s="1274"/>
      <c r="H16" s="1274"/>
      <c r="I16" s="1274"/>
    </row>
    <row r="17" spans="1:9">
      <c r="A17" s="1088" t="s">
        <v>1181</v>
      </c>
      <c r="B17" s="1088" t="s">
        <v>1183</v>
      </c>
      <c r="C17" s="1089">
        <v>0</v>
      </c>
      <c r="D17" s="1068">
        <v>0</v>
      </c>
      <c r="E17" s="813"/>
      <c r="F17" s="1274"/>
      <c r="G17" s="1274"/>
      <c r="H17" s="1274"/>
      <c r="I17" s="1274"/>
    </row>
    <row r="18" spans="1:9">
      <c r="A18" s="1088" t="s">
        <v>1181</v>
      </c>
      <c r="B18" s="1088" t="s">
        <v>1184</v>
      </c>
      <c r="C18" s="1089">
        <v>0</v>
      </c>
      <c r="D18" s="1068">
        <v>0</v>
      </c>
      <c r="E18" s="813"/>
      <c r="F18" s="1274"/>
      <c r="G18" s="1274"/>
      <c r="H18" s="1274"/>
      <c r="I18" s="1274"/>
    </row>
    <row r="19" spans="1:9">
      <c r="A19" s="1082"/>
      <c r="B19" s="1083"/>
      <c r="C19" s="1084"/>
      <c r="D19" s="1085"/>
      <c r="E19" s="813"/>
    </row>
    <row r="20" spans="1:9">
      <c r="A20" s="1082" t="s">
        <v>1185</v>
      </c>
      <c r="B20" s="1083"/>
      <c r="C20" s="1087" t="s">
        <v>1218</v>
      </c>
      <c r="D20" s="1085"/>
      <c r="E20" s="813"/>
    </row>
    <row r="21" spans="1:9">
      <c r="A21" s="1083"/>
      <c r="B21" s="1083"/>
      <c r="C21" s="1084" t="s">
        <v>1179</v>
      </c>
      <c r="D21" s="1085" t="s">
        <v>1180</v>
      </c>
      <c r="E21" s="813"/>
    </row>
    <row r="22" spans="1:9">
      <c r="A22" s="1088" t="s">
        <v>1186</v>
      </c>
      <c r="B22" s="1088" t="s">
        <v>1183</v>
      </c>
      <c r="C22" s="1090">
        <v>0</v>
      </c>
      <c r="D22" s="1068">
        <v>0</v>
      </c>
      <c r="E22" s="813"/>
      <c r="F22" s="1274" t="s">
        <v>0</v>
      </c>
      <c r="G22" s="1274"/>
      <c r="H22" s="1274"/>
      <c r="I22" s="1274"/>
    </row>
    <row r="23" spans="1:9">
      <c r="A23" s="1088" t="s">
        <v>1186</v>
      </c>
      <c r="B23" s="1088" t="s">
        <v>1184</v>
      </c>
      <c r="C23" s="1090">
        <v>0</v>
      </c>
      <c r="D23" s="1068">
        <v>0</v>
      </c>
      <c r="E23" s="813"/>
      <c r="F23" s="1274"/>
      <c r="G23" s="1274"/>
      <c r="H23" s="1274"/>
      <c r="I23" s="1274"/>
    </row>
    <row r="24" spans="1:9">
      <c r="A24" s="1088" t="s">
        <v>1187</v>
      </c>
      <c r="B24" s="1088" t="s">
        <v>1184</v>
      </c>
      <c r="C24" s="1090">
        <v>0</v>
      </c>
      <c r="D24" s="1068">
        <v>0</v>
      </c>
      <c r="E24" s="813"/>
      <c r="F24" s="1274"/>
      <c r="G24" s="1274"/>
      <c r="H24" s="1274"/>
      <c r="I24" s="1274"/>
    </row>
    <row r="25" spans="1:9">
      <c r="A25" s="1082"/>
      <c r="B25" s="1083"/>
      <c r="C25" s="1084"/>
      <c r="D25" s="1085"/>
      <c r="E25" s="813"/>
    </row>
    <row r="26" spans="1:9">
      <c r="A26" s="1082" t="s">
        <v>1188</v>
      </c>
      <c r="B26" s="1083"/>
      <c r="C26" s="1087" t="s">
        <v>1219</v>
      </c>
      <c r="D26" s="1085"/>
      <c r="E26" s="813"/>
    </row>
    <row r="27" spans="1:9">
      <c r="A27" s="1083"/>
      <c r="B27" s="1083"/>
      <c r="C27" s="1084" t="s">
        <v>1179</v>
      </c>
      <c r="D27" s="1085" t="s">
        <v>1180</v>
      </c>
      <c r="E27" s="813"/>
    </row>
    <row r="28" spans="1:9">
      <c r="A28" s="1088" t="s">
        <v>1189</v>
      </c>
      <c r="B28" s="1088" t="s">
        <v>1226</v>
      </c>
      <c r="C28" s="1090">
        <v>0</v>
      </c>
      <c r="D28" s="1068">
        <v>0</v>
      </c>
      <c r="E28" s="813"/>
      <c r="F28" s="1274" t="s">
        <v>0</v>
      </c>
      <c r="G28" s="1274"/>
      <c r="H28" s="1274"/>
      <c r="I28" s="1274"/>
    </row>
    <row r="29" spans="1:9">
      <c r="A29" s="1088" t="s">
        <v>1181</v>
      </c>
      <c r="B29" s="1088" t="s">
        <v>1226</v>
      </c>
      <c r="C29" s="1089">
        <v>0</v>
      </c>
      <c r="D29" s="1068">
        <v>0</v>
      </c>
      <c r="E29" s="813"/>
      <c r="F29" s="1274"/>
      <c r="G29" s="1274"/>
      <c r="H29" s="1274"/>
      <c r="I29" s="1274"/>
    </row>
    <row r="30" spans="1:9">
      <c r="A30" s="1088" t="s">
        <v>1181</v>
      </c>
      <c r="B30" s="1088" t="s">
        <v>1227</v>
      </c>
      <c r="C30" s="1089">
        <v>0</v>
      </c>
      <c r="D30" s="1068">
        <v>0</v>
      </c>
      <c r="E30" s="813"/>
      <c r="F30" s="1274"/>
      <c r="G30" s="1274"/>
      <c r="H30" s="1274"/>
      <c r="I30" s="1274"/>
    </row>
    <row r="31" spans="1:9">
      <c r="A31" s="1083"/>
      <c r="B31" s="1083"/>
      <c r="C31" s="1084"/>
      <c r="D31" s="1085"/>
      <c r="E31" s="813"/>
    </row>
    <row r="32" spans="1:9">
      <c r="A32" s="1082" t="s">
        <v>1190</v>
      </c>
      <c r="B32" s="1083"/>
      <c r="C32" s="1087" t="s">
        <v>1217</v>
      </c>
      <c r="D32" s="1085"/>
      <c r="E32" s="813"/>
    </row>
    <row r="33" spans="1:9">
      <c r="A33" s="1083"/>
      <c r="B33" s="1083"/>
      <c r="C33" s="1084" t="s">
        <v>1179</v>
      </c>
      <c r="D33" s="1085" t="s">
        <v>1180</v>
      </c>
      <c r="E33" s="813"/>
    </row>
    <row r="34" spans="1:9">
      <c r="A34" s="1088" t="s">
        <v>1181</v>
      </c>
      <c r="B34" s="1088" t="s">
        <v>1182</v>
      </c>
      <c r="C34" s="1084" t="s">
        <v>1220</v>
      </c>
      <c r="D34" s="1070">
        <v>13000000</v>
      </c>
      <c r="E34" s="813"/>
      <c r="F34" s="1274" t="s">
        <v>0</v>
      </c>
      <c r="G34" s="1274"/>
      <c r="H34" s="1274"/>
      <c r="I34" s="1274"/>
    </row>
    <row r="35" spans="1:9">
      <c r="A35" s="1088" t="s">
        <v>1181</v>
      </c>
      <c r="B35" s="1088" t="s">
        <v>1183</v>
      </c>
      <c r="C35" s="1084" t="s">
        <v>1220</v>
      </c>
      <c r="D35" s="1070">
        <v>13000000</v>
      </c>
      <c r="E35" s="813"/>
      <c r="F35" s="1274"/>
      <c r="G35" s="1274"/>
      <c r="H35" s="1274"/>
      <c r="I35" s="1274"/>
    </row>
    <row r="36" spans="1:9">
      <c r="A36" s="1088" t="s">
        <v>1181</v>
      </c>
      <c r="B36" s="1088" t="s">
        <v>1184</v>
      </c>
      <c r="C36" s="1084" t="s">
        <v>1220</v>
      </c>
      <c r="D36" s="1070">
        <v>13000000</v>
      </c>
      <c r="E36" s="813"/>
      <c r="F36" s="1274"/>
      <c r="G36" s="1274"/>
      <c r="H36" s="1274"/>
      <c r="I36" s="1274"/>
    </row>
    <row r="37" spans="1:9">
      <c r="A37" s="1083"/>
      <c r="B37" s="1083"/>
      <c r="C37" s="1084"/>
      <c r="D37" s="1085"/>
      <c r="E37" s="813"/>
    </row>
    <row r="38" spans="1:9">
      <c r="A38" s="1082" t="s">
        <v>1192</v>
      </c>
      <c r="B38" s="1083"/>
      <c r="C38" s="1087" t="s">
        <v>1217</v>
      </c>
      <c r="D38" s="1085"/>
      <c r="E38" s="813"/>
    </row>
    <row r="39" spans="1:9">
      <c r="A39" s="1083"/>
      <c r="B39" s="1083"/>
      <c r="C39" s="1084" t="s">
        <v>1179</v>
      </c>
      <c r="D39" s="1085" t="s">
        <v>1180</v>
      </c>
      <c r="E39" s="813"/>
    </row>
    <row r="40" spans="1:9">
      <c r="A40" s="1088" t="s">
        <v>1181</v>
      </c>
      <c r="B40" s="1088" t="s">
        <v>1193</v>
      </c>
      <c r="C40" s="1084" t="s">
        <v>1220</v>
      </c>
      <c r="D40" s="1070">
        <v>10000000</v>
      </c>
      <c r="E40" s="813"/>
      <c r="F40" s="1274" t="s">
        <v>0</v>
      </c>
      <c r="G40" s="1274"/>
      <c r="H40" s="1274"/>
      <c r="I40" s="1274"/>
    </row>
    <row r="41" spans="1:9">
      <c r="A41" s="1088" t="s">
        <v>1181</v>
      </c>
      <c r="B41" s="1088" t="s">
        <v>1194</v>
      </c>
      <c r="C41" s="1084" t="s">
        <v>1220</v>
      </c>
      <c r="D41" s="1070">
        <v>10000000</v>
      </c>
      <c r="E41" s="813"/>
      <c r="F41" s="1274"/>
      <c r="G41" s="1274"/>
      <c r="H41" s="1274"/>
      <c r="I41" s="1274"/>
    </row>
    <row r="42" spans="1:9">
      <c r="A42" s="1088" t="s">
        <v>1181</v>
      </c>
      <c r="B42" s="1088" t="s">
        <v>1195</v>
      </c>
      <c r="C42" s="1084" t="s">
        <v>1220</v>
      </c>
      <c r="D42" s="1070">
        <v>10000000</v>
      </c>
      <c r="E42" s="813"/>
      <c r="F42" s="1274"/>
      <c r="G42" s="1274"/>
      <c r="H42" s="1274"/>
      <c r="I42" s="1274"/>
    </row>
    <row r="43" spans="1:9">
      <c r="A43" s="1083"/>
      <c r="B43" s="1083"/>
      <c r="C43" s="1084"/>
      <c r="D43" s="1085"/>
      <c r="E43" s="813"/>
    </row>
    <row r="44" spans="1:9">
      <c r="A44" s="1086" t="s">
        <v>1196</v>
      </c>
      <c r="B44" s="1083"/>
      <c r="C44" s="1084"/>
      <c r="D44" s="1085"/>
      <c r="E44" s="813"/>
    </row>
    <row r="45" spans="1:9">
      <c r="A45" s="1083"/>
      <c r="B45" s="1083"/>
      <c r="C45" s="1084"/>
      <c r="D45" s="1085"/>
      <c r="E45" s="813"/>
    </row>
    <row r="46" spans="1:9">
      <c r="A46" s="1082" t="s">
        <v>1213</v>
      </c>
      <c r="B46" s="1083"/>
      <c r="C46" s="1087" t="s">
        <v>1229</v>
      </c>
      <c r="D46" s="1085"/>
      <c r="E46" s="813"/>
    </row>
    <row r="47" spans="1:9">
      <c r="A47" s="1083"/>
      <c r="B47" s="1083"/>
      <c r="C47" s="1084" t="s">
        <v>1179</v>
      </c>
      <c r="D47" s="1085" t="s">
        <v>1180</v>
      </c>
      <c r="E47" s="813"/>
    </row>
    <row r="48" spans="1:9">
      <c r="A48" s="1088" t="s">
        <v>1186</v>
      </c>
      <c r="B48" s="1088" t="s">
        <v>1226</v>
      </c>
      <c r="C48" s="1089" t="s">
        <v>1191</v>
      </c>
      <c r="D48" s="1068" t="s">
        <v>1191</v>
      </c>
      <c r="E48" s="813"/>
      <c r="F48" s="1274" t="s">
        <v>1197</v>
      </c>
      <c r="G48" s="1274"/>
      <c r="H48" s="1274"/>
      <c r="I48" s="1274"/>
    </row>
    <row r="49" spans="1:9">
      <c r="A49" s="1088" t="s">
        <v>1187</v>
      </c>
      <c r="B49" s="1088" t="s">
        <v>1226</v>
      </c>
      <c r="C49" s="1089" t="s">
        <v>1191</v>
      </c>
      <c r="D49" s="1068" t="s">
        <v>1191</v>
      </c>
      <c r="E49" s="813"/>
      <c r="F49" s="1274"/>
      <c r="G49" s="1274"/>
      <c r="H49" s="1274"/>
      <c r="I49" s="1274"/>
    </row>
    <row r="50" spans="1:9">
      <c r="A50" s="1088" t="s">
        <v>1198</v>
      </c>
      <c r="B50" s="1088" t="s">
        <v>1226</v>
      </c>
      <c r="C50" s="1089" t="s">
        <v>1191</v>
      </c>
      <c r="D50" s="1068" t="s">
        <v>1191</v>
      </c>
      <c r="E50" s="813"/>
      <c r="F50" s="1274"/>
      <c r="G50" s="1274"/>
      <c r="H50" s="1274"/>
      <c r="I50" s="1274"/>
    </row>
    <row r="51" spans="1:9">
      <c r="A51" s="1083"/>
      <c r="B51" s="1083"/>
      <c r="C51" s="1084"/>
      <c r="D51" s="1085"/>
      <c r="E51" s="813"/>
    </row>
    <row r="52" spans="1:9">
      <c r="A52" s="1082" t="s">
        <v>1214</v>
      </c>
      <c r="B52" s="1083"/>
      <c r="C52" s="1087" t="s">
        <v>1229</v>
      </c>
      <c r="D52" s="1085"/>
      <c r="E52" s="813"/>
    </row>
    <row r="53" spans="1:9">
      <c r="A53" s="1083"/>
      <c r="B53" s="1083"/>
      <c r="C53" s="1084" t="s">
        <v>1179</v>
      </c>
      <c r="D53" s="1085" t="s">
        <v>1180</v>
      </c>
      <c r="E53" s="813"/>
    </row>
    <row r="54" spans="1:9">
      <c r="A54" s="1088" t="s">
        <v>1186</v>
      </c>
      <c r="B54" s="1088" t="s">
        <v>1227</v>
      </c>
      <c r="C54" s="1091" t="s">
        <v>1221</v>
      </c>
      <c r="D54" s="1070">
        <v>0.38200000000000001</v>
      </c>
      <c r="E54" s="813"/>
      <c r="F54" s="1274" t="s">
        <v>0</v>
      </c>
      <c r="G54" s="1274"/>
      <c r="H54" s="1274"/>
      <c r="I54" s="1274"/>
    </row>
    <row r="55" spans="1:9">
      <c r="A55" s="1088" t="s">
        <v>1187</v>
      </c>
      <c r="B55" s="1088" t="s">
        <v>1227</v>
      </c>
      <c r="C55" s="1091" t="s">
        <v>1221</v>
      </c>
      <c r="D55" s="1070">
        <v>0.38</v>
      </c>
      <c r="E55" s="813"/>
      <c r="F55" s="1274"/>
      <c r="G55" s="1274"/>
      <c r="H55" s="1274"/>
      <c r="I55" s="1274"/>
    </row>
    <row r="56" spans="1:9">
      <c r="A56" s="1088" t="s">
        <v>1198</v>
      </c>
      <c r="B56" s="1088" t="s">
        <v>1227</v>
      </c>
      <c r="C56" s="1091" t="s">
        <v>1221</v>
      </c>
      <c r="D56" s="1070">
        <v>0.378</v>
      </c>
      <c r="E56" s="813"/>
      <c r="F56" s="1274"/>
      <c r="G56" s="1274"/>
      <c r="H56" s="1274"/>
      <c r="I56" s="1274"/>
    </row>
    <row r="57" spans="1:9">
      <c r="A57" s="1083"/>
      <c r="B57" s="1083"/>
      <c r="C57" s="1084"/>
      <c r="D57" s="1085"/>
      <c r="E57" s="813"/>
    </row>
    <row r="58" spans="1:9">
      <c r="A58" s="1082" t="s">
        <v>1215</v>
      </c>
      <c r="B58" s="1083"/>
      <c r="C58" s="1087" t="s">
        <v>1229</v>
      </c>
      <c r="D58" s="1085"/>
      <c r="E58" s="813"/>
    </row>
    <row r="59" spans="1:9">
      <c r="A59" s="1083"/>
      <c r="B59" s="1083"/>
      <c r="C59" s="1084" t="s">
        <v>1179</v>
      </c>
      <c r="D59" s="1085" t="s">
        <v>1180</v>
      </c>
      <c r="E59" s="813"/>
    </row>
    <row r="60" spans="1:9">
      <c r="A60" s="1088" t="s">
        <v>1199</v>
      </c>
      <c r="B60" s="1088" t="s">
        <v>1182</v>
      </c>
      <c r="C60" s="1091" t="s">
        <v>1221</v>
      </c>
      <c r="D60" s="1070">
        <v>1.03</v>
      </c>
      <c r="E60" s="813"/>
      <c r="F60" s="1274" t="s">
        <v>0</v>
      </c>
      <c r="G60" s="1274"/>
      <c r="H60" s="1274"/>
      <c r="I60" s="1274"/>
    </row>
    <row r="61" spans="1:9">
      <c r="A61" s="1088" t="s">
        <v>1199</v>
      </c>
      <c r="B61" s="1088" t="s">
        <v>1183</v>
      </c>
      <c r="C61" s="1091" t="s">
        <v>1221</v>
      </c>
      <c r="D61" s="1070">
        <v>0.996</v>
      </c>
      <c r="E61" s="813"/>
      <c r="F61" s="1274"/>
      <c r="G61" s="1274"/>
      <c r="H61" s="1274"/>
      <c r="I61" s="1274"/>
    </row>
    <row r="62" spans="1:9">
      <c r="A62" s="1088" t="s">
        <v>1199</v>
      </c>
      <c r="B62" s="1088" t="s">
        <v>1184</v>
      </c>
      <c r="C62" s="1091" t="s">
        <v>1221</v>
      </c>
      <c r="D62" s="1070">
        <v>1.0069999999999999</v>
      </c>
      <c r="E62" s="813"/>
      <c r="F62" s="1274"/>
      <c r="G62" s="1274"/>
      <c r="H62" s="1274"/>
      <c r="I62" s="1274"/>
    </row>
    <row r="63" spans="1:9">
      <c r="A63" s="1083"/>
      <c r="B63" s="1083"/>
      <c r="C63" s="1084"/>
      <c r="D63" s="1085"/>
      <c r="E63" s="813"/>
    </row>
    <row r="64" spans="1:9">
      <c r="A64" s="1082" t="s">
        <v>1216</v>
      </c>
      <c r="B64" s="1083"/>
      <c r="C64" s="1087" t="s">
        <v>1229</v>
      </c>
      <c r="D64" s="1085"/>
      <c r="E64" s="813"/>
    </row>
    <row r="65" spans="1:9">
      <c r="A65" s="1083"/>
      <c r="B65" s="1083"/>
      <c r="C65" s="1084" t="s">
        <v>1179</v>
      </c>
      <c r="D65" s="1085" t="s">
        <v>1180</v>
      </c>
      <c r="E65" s="813"/>
    </row>
    <row r="66" spans="1:9">
      <c r="A66" s="1088" t="s">
        <v>1189</v>
      </c>
      <c r="B66" s="1088" t="s">
        <v>1182</v>
      </c>
      <c r="C66" s="1089" t="s">
        <v>1191</v>
      </c>
      <c r="D66" s="1068" t="s">
        <v>1191</v>
      </c>
      <c r="E66" s="813"/>
      <c r="F66" s="1274" t="s">
        <v>1200</v>
      </c>
      <c r="G66" s="1274"/>
      <c r="H66" s="1274"/>
      <c r="I66" s="1274"/>
    </row>
    <row r="67" spans="1:9">
      <c r="A67" s="1088" t="s">
        <v>1189</v>
      </c>
      <c r="B67" s="1088" t="s">
        <v>1183</v>
      </c>
      <c r="C67" s="1089" t="s">
        <v>1191</v>
      </c>
      <c r="D67" s="1068" t="s">
        <v>1191</v>
      </c>
      <c r="E67" s="813"/>
      <c r="F67" s="1274"/>
      <c r="G67" s="1274"/>
      <c r="H67" s="1274"/>
      <c r="I67" s="1274"/>
    </row>
    <row r="68" spans="1:9">
      <c r="A68" s="1088" t="s">
        <v>1189</v>
      </c>
      <c r="B68" s="1088" t="s">
        <v>1184</v>
      </c>
      <c r="C68" s="1089" t="s">
        <v>1191</v>
      </c>
      <c r="D68" s="1068" t="s">
        <v>1191</v>
      </c>
      <c r="E68" s="813"/>
      <c r="F68" s="1274"/>
      <c r="G68" s="1274"/>
      <c r="H68" s="1274"/>
      <c r="I68" s="1274"/>
    </row>
    <row r="69" spans="1:9">
      <c r="A69" s="1083"/>
      <c r="B69" s="1083"/>
      <c r="C69" s="1084"/>
      <c r="D69" s="1085"/>
      <c r="E69" s="813"/>
    </row>
    <row r="70" spans="1:9">
      <c r="A70" s="1086" t="s">
        <v>1201</v>
      </c>
      <c r="B70" s="1083"/>
      <c r="C70" s="1084"/>
      <c r="D70" s="1085"/>
      <c r="E70" s="813"/>
    </row>
    <row r="71" spans="1:9">
      <c r="A71" s="1083"/>
      <c r="B71" s="1083"/>
      <c r="C71" s="1084"/>
      <c r="D71" s="1085"/>
      <c r="E71" s="813"/>
    </row>
    <row r="72" spans="1:9">
      <c r="A72" s="1082" t="s">
        <v>1202</v>
      </c>
      <c r="B72" s="1083"/>
      <c r="C72" s="1087" t="s">
        <v>1229</v>
      </c>
      <c r="D72" s="1085"/>
      <c r="E72" s="813"/>
    </row>
    <row r="73" spans="1:9">
      <c r="A73" s="1083"/>
      <c r="B73" s="1083"/>
      <c r="C73" s="1084" t="s">
        <v>1179</v>
      </c>
      <c r="D73" s="1085" t="s">
        <v>1180</v>
      </c>
      <c r="E73" s="813"/>
    </row>
    <row r="74" spans="1:9">
      <c r="A74" s="1088" t="s">
        <v>1203</v>
      </c>
      <c r="B74" s="1088" t="s">
        <v>1226</v>
      </c>
      <c r="C74" s="1089" t="s">
        <v>1191</v>
      </c>
      <c r="D74" s="1068" t="s">
        <v>1191</v>
      </c>
      <c r="E74" s="813"/>
      <c r="F74" s="1274" t="s">
        <v>1200</v>
      </c>
      <c r="G74" s="1274"/>
      <c r="H74" s="1274"/>
      <c r="I74" s="1274"/>
    </row>
    <row r="75" spans="1:9">
      <c r="A75" s="1088" t="s">
        <v>1204</v>
      </c>
      <c r="B75" s="1088" t="s">
        <v>1226</v>
      </c>
      <c r="C75" s="1089" t="s">
        <v>1191</v>
      </c>
      <c r="D75" s="1068" t="s">
        <v>1191</v>
      </c>
      <c r="E75" s="813"/>
      <c r="F75" s="1274"/>
      <c r="G75" s="1274"/>
      <c r="H75" s="1274"/>
      <c r="I75" s="1274"/>
    </row>
    <row r="76" spans="1:9">
      <c r="A76" s="1088" t="s">
        <v>1205</v>
      </c>
      <c r="B76" s="1088" t="s">
        <v>1226</v>
      </c>
      <c r="C76" s="1089" t="s">
        <v>1191</v>
      </c>
      <c r="D76" s="1068" t="s">
        <v>1191</v>
      </c>
      <c r="E76" s="813"/>
      <c r="F76" s="1274"/>
      <c r="G76" s="1274"/>
      <c r="H76" s="1274"/>
      <c r="I76" s="1274"/>
    </row>
    <row r="77" spans="1:9">
      <c r="A77" s="1083"/>
      <c r="B77" s="1083"/>
      <c r="C77" s="1084"/>
      <c r="D77" s="1085"/>
      <c r="E77" s="813"/>
    </row>
    <row r="78" spans="1:9">
      <c r="A78" s="1082" t="s">
        <v>1206</v>
      </c>
      <c r="B78" s="1083"/>
      <c r="C78" s="1087" t="s">
        <v>1229</v>
      </c>
      <c r="D78" s="1085"/>
      <c r="E78" s="813"/>
    </row>
    <row r="79" spans="1:9">
      <c r="A79" s="1083"/>
      <c r="B79" s="1083"/>
      <c r="C79" s="1084" t="s">
        <v>1179</v>
      </c>
      <c r="D79" s="1085" t="s">
        <v>1180</v>
      </c>
      <c r="E79" s="813"/>
    </row>
    <row r="80" spans="1:9">
      <c r="A80" s="1088" t="s">
        <v>1203</v>
      </c>
      <c r="B80" s="1088" t="s">
        <v>1227</v>
      </c>
      <c r="C80" s="1091" t="s">
        <v>1221</v>
      </c>
      <c r="D80" s="1070">
        <v>0.28199999999999997</v>
      </c>
      <c r="E80" s="813"/>
      <c r="F80" s="1274" t="s">
        <v>0</v>
      </c>
      <c r="G80" s="1274"/>
      <c r="H80" s="1274"/>
      <c r="I80" s="1274"/>
    </row>
    <row r="81" spans="1:9">
      <c r="A81" s="1088" t="s">
        <v>1204</v>
      </c>
      <c r="B81" s="1088" t="s">
        <v>1227</v>
      </c>
      <c r="C81" s="1091" t="s">
        <v>1221</v>
      </c>
      <c r="D81" s="1070">
        <v>0.25700000000000001</v>
      </c>
      <c r="E81" s="813"/>
      <c r="F81" s="1274"/>
      <c r="G81" s="1274"/>
      <c r="H81" s="1274"/>
      <c r="I81" s="1274"/>
    </row>
    <row r="82" spans="1:9">
      <c r="A82" s="1088" t="s">
        <v>1205</v>
      </c>
      <c r="B82" s="1088" t="s">
        <v>1227</v>
      </c>
      <c r="C82" s="1091" t="s">
        <v>1221</v>
      </c>
      <c r="D82" s="1070">
        <v>0.29399999999999998</v>
      </c>
      <c r="E82" s="813"/>
      <c r="F82" s="1274"/>
      <c r="G82" s="1274"/>
      <c r="H82" s="1274"/>
      <c r="I82" s="1274"/>
    </row>
    <row r="83" spans="1:9">
      <c r="A83" s="1083"/>
      <c r="B83" s="1083"/>
      <c r="C83" s="1084"/>
      <c r="D83" s="1085"/>
      <c r="E83" s="813"/>
    </row>
    <row r="84" spans="1:9">
      <c r="A84" s="1082" t="s">
        <v>1207</v>
      </c>
      <c r="B84" s="1083"/>
      <c r="C84" s="1087" t="s">
        <v>1229</v>
      </c>
      <c r="D84" s="1085"/>
      <c r="E84" s="813"/>
    </row>
    <row r="85" spans="1:9">
      <c r="A85" s="1083"/>
      <c r="B85" s="1083"/>
      <c r="C85" s="1084" t="s">
        <v>1179</v>
      </c>
      <c r="D85" s="1085" t="s">
        <v>1180</v>
      </c>
      <c r="E85" s="813"/>
    </row>
    <row r="86" spans="1:9">
      <c r="A86" s="1088" t="s">
        <v>1199</v>
      </c>
      <c r="B86" s="1088" t="s">
        <v>1193</v>
      </c>
      <c r="C86" s="1091" t="s">
        <v>1221</v>
      </c>
      <c r="D86" s="1070">
        <v>0.28399999999999997</v>
      </c>
      <c r="E86" s="813"/>
      <c r="F86" s="1274" t="s">
        <v>0</v>
      </c>
      <c r="G86" s="1274"/>
      <c r="H86" s="1274"/>
      <c r="I86" s="1274"/>
    </row>
    <row r="87" spans="1:9">
      <c r="A87" s="1088" t="s">
        <v>1199</v>
      </c>
      <c r="B87" s="1088" t="s">
        <v>1194</v>
      </c>
      <c r="C87" s="1091" t="s">
        <v>1221</v>
      </c>
      <c r="D87" s="1070">
        <v>0.26300000000000001</v>
      </c>
      <c r="E87" s="813"/>
      <c r="F87" s="1274"/>
      <c r="G87" s="1274"/>
      <c r="H87" s="1274"/>
      <c r="I87" s="1274"/>
    </row>
    <row r="88" spans="1:9">
      <c r="A88" s="1088" t="s">
        <v>1199</v>
      </c>
      <c r="B88" s="1088" t="s">
        <v>1195</v>
      </c>
      <c r="C88" s="1091" t="s">
        <v>1221</v>
      </c>
      <c r="D88" s="1070">
        <v>0.29399999999999998</v>
      </c>
      <c r="E88" s="813"/>
      <c r="F88" s="1274"/>
      <c r="G88" s="1274"/>
      <c r="H88" s="1274"/>
      <c r="I88" s="1274"/>
    </row>
    <row r="89" spans="1:9">
      <c r="A89" s="1083"/>
      <c r="B89" s="1083"/>
      <c r="C89" s="1084"/>
      <c r="D89" s="1085"/>
      <c r="E89" s="813"/>
    </row>
    <row r="90" spans="1:9">
      <c r="A90" s="1082" t="s">
        <v>1208</v>
      </c>
      <c r="B90" s="1083"/>
      <c r="C90" s="1087" t="s">
        <v>1229</v>
      </c>
      <c r="D90" s="1085"/>
      <c r="E90" s="813"/>
    </row>
    <row r="91" spans="1:9">
      <c r="A91" s="1083"/>
      <c r="B91" s="1083"/>
      <c r="C91" s="1084" t="s">
        <v>1179</v>
      </c>
      <c r="D91" s="1085" t="s">
        <v>1180</v>
      </c>
      <c r="E91" s="813"/>
    </row>
    <row r="92" spans="1:9">
      <c r="A92" s="1088" t="s">
        <v>1189</v>
      </c>
      <c r="B92" s="1088" t="s">
        <v>1193</v>
      </c>
      <c r="C92" s="1089" t="s">
        <v>1191</v>
      </c>
      <c r="D92" s="1068" t="s">
        <v>1191</v>
      </c>
      <c r="E92" s="813"/>
      <c r="F92" s="1274" t="s">
        <v>1200</v>
      </c>
      <c r="G92" s="1274"/>
      <c r="H92" s="1274"/>
      <c r="I92" s="1274"/>
    </row>
    <row r="93" spans="1:9">
      <c r="A93" s="1088" t="s">
        <v>1189</v>
      </c>
      <c r="B93" s="1088" t="s">
        <v>1194</v>
      </c>
      <c r="C93" s="1089" t="s">
        <v>1191</v>
      </c>
      <c r="D93" s="1068" t="s">
        <v>1191</v>
      </c>
      <c r="E93" s="813"/>
      <c r="F93" s="1274"/>
      <c r="G93" s="1274"/>
      <c r="H93" s="1274"/>
      <c r="I93" s="1274"/>
    </row>
    <row r="94" spans="1:9">
      <c r="A94" s="1088" t="s">
        <v>1189</v>
      </c>
      <c r="B94" s="1088" t="s">
        <v>1195</v>
      </c>
      <c r="C94" s="1089" t="s">
        <v>1191</v>
      </c>
      <c r="D94" s="1068" t="s">
        <v>1191</v>
      </c>
      <c r="E94" s="813"/>
      <c r="F94" s="1274"/>
      <c r="G94" s="1274"/>
      <c r="H94" s="1274"/>
      <c r="I94" s="1274"/>
    </row>
    <row r="95" spans="1:9">
      <c r="A95" s="1083"/>
      <c r="B95" s="1083"/>
      <c r="C95" s="1084"/>
      <c r="D95" s="1085"/>
      <c r="E95" s="813"/>
    </row>
    <row r="96" spans="1:9">
      <c r="A96" s="1086" t="s">
        <v>1209</v>
      </c>
      <c r="B96" s="1083"/>
      <c r="C96" s="1084"/>
      <c r="D96" s="1085"/>
      <c r="E96" s="813"/>
    </row>
    <row r="97" spans="1:9">
      <c r="A97" s="1083"/>
      <c r="B97" s="1083"/>
      <c r="C97" s="1084"/>
      <c r="D97" s="1085"/>
      <c r="E97" s="813"/>
    </row>
    <row r="98" spans="1:9">
      <c r="A98" s="1082" t="s">
        <v>1210</v>
      </c>
      <c r="B98" s="1083"/>
      <c r="C98" s="1087" t="s">
        <v>1229</v>
      </c>
      <c r="D98" s="1085"/>
      <c r="E98" s="813"/>
    </row>
    <row r="99" spans="1:9">
      <c r="A99" s="1083"/>
      <c r="B99" s="1083"/>
      <c r="C99" s="1084" t="s">
        <v>1179</v>
      </c>
      <c r="D99" s="1085" t="s">
        <v>1180</v>
      </c>
      <c r="E99" s="813"/>
    </row>
    <row r="100" spans="1:9">
      <c r="A100" s="1088" t="s">
        <v>1189</v>
      </c>
      <c r="B100" s="1088" t="s">
        <v>1226</v>
      </c>
      <c r="C100" s="1089" t="s">
        <v>1191</v>
      </c>
      <c r="D100" s="1068" t="s">
        <v>1191</v>
      </c>
      <c r="E100" s="813"/>
      <c r="F100" s="1274" t="s">
        <v>1224</v>
      </c>
      <c r="G100" s="1274"/>
      <c r="H100" s="1274"/>
      <c r="I100" s="1274"/>
    </row>
    <row r="101" spans="1:9">
      <c r="A101" s="1083"/>
      <c r="B101" s="1083"/>
      <c r="C101" s="1084"/>
      <c r="D101" s="1085"/>
      <c r="E101" s="813"/>
      <c r="F101" s="1274"/>
      <c r="G101" s="1274"/>
      <c r="H101" s="1274"/>
      <c r="I101" s="1274"/>
    </row>
    <row r="102" spans="1:9">
      <c r="A102" s="1083"/>
      <c r="B102" s="1083"/>
      <c r="C102" s="1084"/>
      <c r="D102" s="1085"/>
      <c r="E102" s="813"/>
      <c r="F102" s="1274"/>
      <c r="G102" s="1274"/>
      <c r="H102" s="1274"/>
      <c r="I102" s="1274"/>
    </row>
    <row r="103" spans="1:9">
      <c r="A103" s="1082" t="s">
        <v>1211</v>
      </c>
      <c r="B103" s="1083"/>
      <c r="C103" s="1087" t="s">
        <v>1219</v>
      </c>
      <c r="D103" s="1085"/>
      <c r="E103" s="813"/>
    </row>
    <row r="104" spans="1:9">
      <c r="A104" s="1083"/>
      <c r="B104" s="1083"/>
      <c r="C104" s="1084" t="s">
        <v>1179</v>
      </c>
      <c r="D104" s="1085" t="s">
        <v>1180</v>
      </c>
      <c r="E104" s="813"/>
    </row>
    <row r="105" spans="1:9">
      <c r="A105" s="1088" t="s">
        <v>1189</v>
      </c>
      <c r="B105" s="1088" t="s">
        <v>1226</v>
      </c>
      <c r="C105" s="1089" t="s">
        <v>1223</v>
      </c>
      <c r="D105" s="1068">
        <v>2.9</v>
      </c>
      <c r="E105" s="813"/>
      <c r="F105" s="1274" t="s">
        <v>1235</v>
      </c>
      <c r="G105" s="1274"/>
      <c r="H105" s="1274"/>
      <c r="I105" s="1274"/>
    </row>
    <row r="106" spans="1:9">
      <c r="A106" s="1083"/>
      <c r="B106" s="1083"/>
      <c r="C106" s="1084"/>
      <c r="D106" s="1085"/>
      <c r="E106" s="813"/>
      <c r="F106" s="1274"/>
      <c r="G106" s="1274"/>
      <c r="H106" s="1274"/>
      <c r="I106" s="1274"/>
    </row>
    <row r="107" spans="1:9">
      <c r="A107" s="1083"/>
      <c r="B107" s="1083"/>
      <c r="C107" s="1084"/>
      <c r="D107" s="1085"/>
      <c r="E107" s="813"/>
      <c r="F107" s="1274"/>
      <c r="G107" s="1274"/>
      <c r="H107" s="1274"/>
      <c r="I107" s="1274"/>
    </row>
    <row r="108" spans="1:9">
      <c r="A108" s="1082" t="s">
        <v>1222</v>
      </c>
      <c r="B108" s="1083"/>
      <c r="C108" s="1087" t="s">
        <v>1217</v>
      </c>
      <c r="D108" s="1085"/>
      <c r="E108" s="813"/>
    </row>
    <row r="109" spans="1:9">
      <c r="A109" s="1083"/>
      <c r="B109" s="1083"/>
      <c r="C109" s="1084" t="s">
        <v>1179</v>
      </c>
      <c r="D109" s="1085" t="s">
        <v>1180</v>
      </c>
      <c r="E109" s="813"/>
    </row>
    <row r="110" spans="1:9">
      <c r="A110" s="1088" t="s">
        <v>1181</v>
      </c>
      <c r="B110" s="1088" t="s">
        <v>1226</v>
      </c>
      <c r="C110" s="1089" t="s">
        <v>1212</v>
      </c>
      <c r="D110" s="1070">
        <v>19000000</v>
      </c>
      <c r="E110" s="813"/>
      <c r="F110" s="1274" t="s">
        <v>1200</v>
      </c>
      <c r="G110" s="1274"/>
      <c r="H110" s="1274"/>
      <c r="I110" s="1274"/>
    </row>
    <row r="111" spans="1:9">
      <c r="A111" s="1088" t="s">
        <v>1181</v>
      </c>
      <c r="B111" s="1088" t="s">
        <v>1227</v>
      </c>
      <c r="C111" s="1084"/>
      <c r="D111" s="1085"/>
      <c r="E111" s="813"/>
      <c r="F111" s="1274"/>
      <c r="G111" s="1274"/>
      <c r="H111" s="1274"/>
      <c r="I111" s="1274"/>
    </row>
    <row r="112" spans="1:9">
      <c r="A112" s="1083"/>
      <c r="B112" s="1083"/>
      <c r="C112" s="1084"/>
      <c r="D112" s="1085"/>
      <c r="E112" s="813"/>
      <c r="F112" s="1274"/>
      <c r="G112" s="1274"/>
      <c r="H112" s="1274"/>
      <c r="I112" s="1274"/>
    </row>
    <row r="113" spans="1:10">
      <c r="A113" s="982" t="s">
        <v>666</v>
      </c>
      <c r="B113" s="984"/>
      <c r="C113" s="1021" t="s">
        <v>1068</v>
      </c>
      <c r="D113" s="734"/>
      <c r="E113" s="1022"/>
      <c r="I113" s="981"/>
      <c r="J113" s="979"/>
    </row>
    <row r="114" spans="1:10">
      <c r="A114" s="983" t="s">
        <v>762</v>
      </c>
      <c r="B114" s="989"/>
      <c r="C114" s="1027">
        <f>D114</f>
        <v>9.9999999999999998E-13</v>
      </c>
      <c r="D114" s="1023">
        <v>9.9999999999999998E-13</v>
      </c>
      <c r="E114" s="1001" t="s">
        <v>1131</v>
      </c>
      <c r="I114" s="981"/>
      <c r="J114" s="979"/>
    </row>
    <row r="115" spans="1:10">
      <c r="A115" s="814" t="s">
        <v>763</v>
      </c>
      <c r="B115" s="989"/>
      <c r="C115" s="1026">
        <f>D115</f>
        <v>1.0000000000000001E-9</v>
      </c>
      <c r="D115" s="1029">
        <v>1.0000000000000001E-9</v>
      </c>
      <c r="E115" s="876" t="s">
        <v>1130</v>
      </c>
      <c r="I115" s="981"/>
      <c r="J115" s="979"/>
    </row>
    <row r="116" spans="1:10">
      <c r="A116" s="982" t="s">
        <v>766</v>
      </c>
      <c r="B116" s="1064"/>
      <c r="C116" s="1025">
        <f t="shared" ref="C116:C122" si="0">D116</f>
        <v>9.9999999999999995E-7</v>
      </c>
      <c r="D116" s="1029">
        <v>9.9999999999999995E-7</v>
      </c>
      <c r="E116" s="876" t="s">
        <v>1128</v>
      </c>
      <c r="I116" s="981"/>
      <c r="J116" s="979"/>
    </row>
    <row r="117" spans="1:10">
      <c r="A117" s="982" t="s">
        <v>3</v>
      </c>
      <c r="B117" s="989"/>
      <c r="C117" s="1024">
        <f t="shared" si="0"/>
        <v>1E-3</v>
      </c>
      <c r="D117" s="1029">
        <v>1E-3</v>
      </c>
      <c r="E117" s="876" t="s">
        <v>1127</v>
      </c>
      <c r="I117" s="981"/>
      <c r="J117" s="979"/>
    </row>
    <row r="118" spans="1:10">
      <c r="A118" s="1092"/>
      <c r="B118" s="989"/>
      <c r="C118" s="1028">
        <f t="shared" si="0"/>
        <v>1</v>
      </c>
      <c r="D118" s="1029">
        <v>1</v>
      </c>
      <c r="E118" s="876" t="s">
        <v>1123</v>
      </c>
      <c r="I118" s="981"/>
      <c r="J118" s="979"/>
    </row>
    <row r="119" spans="1:10">
      <c r="A119" s="1093"/>
      <c r="B119" s="987"/>
      <c r="C119" s="1028">
        <f t="shared" si="0"/>
        <v>1000</v>
      </c>
      <c r="D119" s="1029">
        <v>1000</v>
      </c>
      <c r="E119" s="876" t="s">
        <v>1124</v>
      </c>
      <c r="I119" s="981"/>
      <c r="J119" s="979"/>
    </row>
    <row r="120" spans="1:10">
      <c r="A120" s="813"/>
      <c r="B120" s="987"/>
      <c r="C120" s="1028">
        <f t="shared" si="0"/>
        <v>1000000</v>
      </c>
      <c r="D120" s="1029">
        <v>1000000</v>
      </c>
      <c r="E120" s="1001" t="s">
        <v>1125</v>
      </c>
      <c r="I120" s="974"/>
    </row>
    <row r="121" spans="1:10">
      <c r="A121" s="813"/>
      <c r="B121" s="987"/>
      <c r="C121" s="1028">
        <f t="shared" si="0"/>
        <v>1000000000</v>
      </c>
      <c r="D121" s="1029">
        <v>1000000000</v>
      </c>
      <c r="E121" s="1001" t="s">
        <v>1129</v>
      </c>
      <c r="I121" s="974"/>
    </row>
    <row r="122" spans="1:10">
      <c r="A122" s="813"/>
      <c r="B122" s="987"/>
      <c r="C122" s="1028">
        <f t="shared" si="0"/>
        <v>1000000000000</v>
      </c>
      <c r="D122" s="1029">
        <v>1000000000000</v>
      </c>
      <c r="E122" s="1001" t="s">
        <v>1126</v>
      </c>
      <c r="I122" s="974"/>
    </row>
    <row r="123" spans="1:10">
      <c r="A123" s="971"/>
      <c r="B123" s="970"/>
      <c r="C123" s="971"/>
      <c r="D123" s="972"/>
      <c r="G123" s="974"/>
      <c r="H123" s="974"/>
      <c r="I123" s="974"/>
    </row>
    <row r="124" spans="1:10">
      <c r="A124" s="971"/>
      <c r="B124" s="970"/>
      <c r="C124" s="971"/>
      <c r="D124" s="972"/>
      <c r="G124" s="974"/>
      <c r="H124" s="974"/>
      <c r="I124" s="974"/>
    </row>
  </sheetData>
  <sheetProtection algorithmName="SHA-512" hashValue="ANUJ0c0f4Yf07R+CVyfkGEbMXvlRMiUd5tM6ijNJuyPaUnn29gon/CZEeB0JEyRQhBq3fzTxTNh9V1T0G0aXbA==" saltValue="CR7VclCApCBRA5gWGWxZkg==" spinCount="100000" sheet="1" objects="1" scenarios="1"/>
  <mergeCells count="19">
    <mergeCell ref="F110:I112"/>
    <mergeCell ref="H1:I1"/>
    <mergeCell ref="B3:I4"/>
    <mergeCell ref="B6:I7"/>
    <mergeCell ref="F105:I107"/>
    <mergeCell ref="F48:I50"/>
    <mergeCell ref="F54:I56"/>
    <mergeCell ref="F60:I62"/>
    <mergeCell ref="F66:I68"/>
    <mergeCell ref="F74:I76"/>
    <mergeCell ref="F80:I82"/>
    <mergeCell ref="F16:I18"/>
    <mergeCell ref="F22:I24"/>
    <mergeCell ref="F28:I30"/>
    <mergeCell ref="F34:I36"/>
    <mergeCell ref="F40:I42"/>
    <mergeCell ref="F86:I88"/>
    <mergeCell ref="F92:I94"/>
    <mergeCell ref="F100:I102"/>
  </mergeCells>
  <hyperlinks>
    <hyperlink ref="A114" r:id="rId1" display="wyomingelectrician@gmail.com" xr:uid="{00000000-0004-0000-0F00-000000000000}"/>
  </hyperlinks>
  <pageMargins left="0.7" right="0.7" top="0.75" bottom="0.75" header="0.3" footer="0.3"/>
  <pageSetup scale="92" fitToHeight="4" orientation="landscape" horizontalDpi="1200" verticalDpi="1200" r:id="rId2"/>
  <headerFooter>
    <oddFooter>&amp;A&amp;RPage &amp;P</oddFooter>
  </headerFooter>
  <rowBreaks count="3" manualBreakCount="3">
    <brk id="43" max="16383" man="1"/>
    <brk id="69" max="16383" man="1"/>
    <brk id="95"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IO37"/>
  <sheetViews>
    <sheetView workbookViewId="0">
      <selection activeCell="H24" sqref="H24"/>
    </sheetView>
  </sheetViews>
  <sheetFormatPr defaultColWidth="11.5703125" defaultRowHeight="15.75" customHeight="1"/>
  <cols>
    <col min="1" max="1" width="8.7109375" style="17" customWidth="1"/>
    <col min="2" max="2" width="64" style="17" customWidth="1"/>
    <col min="3" max="3" width="8.7109375" style="17" customWidth="1"/>
    <col min="4" max="10" width="11.140625" style="17" customWidth="1"/>
    <col min="11" max="249" width="17.28515625" style="17" customWidth="1"/>
    <col min="250" max="16384" width="11.5703125" style="18"/>
  </cols>
  <sheetData>
    <row r="1" spans="1:10" ht="15.75" customHeight="1">
      <c r="A1" s="789" t="s">
        <v>378</v>
      </c>
      <c r="B1" s="789"/>
      <c r="C1" s="789"/>
      <c r="D1" s="247"/>
      <c r="E1" s="248"/>
      <c r="F1" s="248"/>
      <c r="G1" s="248"/>
      <c r="H1" s="248"/>
      <c r="I1" s="248"/>
      <c r="J1" s="247"/>
    </row>
    <row r="2" spans="1:10" ht="15.75" customHeight="1">
      <c r="A2" s="780" t="s">
        <v>529</v>
      </c>
      <c r="B2" s="248"/>
      <c r="C2" s="248"/>
      <c r="D2" s="248"/>
      <c r="E2" s="248"/>
      <c r="F2" s="248"/>
      <c r="G2" s="248"/>
      <c r="H2" s="248"/>
      <c r="I2" s="248"/>
      <c r="J2" s="247"/>
    </row>
    <row r="3" spans="1:10" ht="15.75" customHeight="1">
      <c r="A3" s="790"/>
      <c r="B3" s="790"/>
      <c r="C3" s="790"/>
      <c r="D3" s="790"/>
      <c r="E3" s="790"/>
      <c r="F3" s="790"/>
      <c r="G3" s="790"/>
      <c r="H3" s="790"/>
      <c r="I3" s="790"/>
      <c r="J3" s="790"/>
    </row>
    <row r="4" spans="1:10" ht="16.5" customHeight="1">
      <c r="A4" s="791" t="s">
        <v>530</v>
      </c>
      <c r="B4" s="792"/>
      <c r="C4" s="792"/>
      <c r="D4" s="793" t="s">
        <v>531</v>
      </c>
      <c r="E4" s="792"/>
      <c r="F4" s="792"/>
      <c r="G4" s="792"/>
      <c r="H4" s="792"/>
      <c r="I4" s="792"/>
      <c r="J4" s="794"/>
    </row>
    <row r="5" spans="1:10" ht="15.75" customHeight="1">
      <c r="A5" s="218">
        <v>55</v>
      </c>
      <c r="B5" s="795" t="s">
        <v>1244</v>
      </c>
      <c r="C5" s="248"/>
      <c r="D5" s="219">
        <v>55</v>
      </c>
      <c r="E5" s="796" t="s">
        <v>1244</v>
      </c>
      <c r="F5" s="796"/>
      <c r="G5" s="220">
        <v>1.5</v>
      </c>
      <c r="H5" s="796" t="s">
        <v>1245</v>
      </c>
      <c r="I5" s="796"/>
      <c r="J5" s="797"/>
    </row>
    <row r="6" spans="1:10" ht="15.75" customHeight="1">
      <c r="A6" s="218">
        <v>1.5</v>
      </c>
      <c r="B6" s="795" t="s">
        <v>1245</v>
      </c>
      <c r="C6" s="248"/>
      <c r="D6" s="798"/>
      <c r="E6" s="789"/>
      <c r="F6" s="789"/>
      <c r="G6" s="789"/>
      <c r="H6" s="789"/>
      <c r="I6" s="789"/>
      <c r="J6" s="799"/>
    </row>
    <row r="7" spans="1:10" ht="15.75" customHeight="1">
      <c r="A7" s="218">
        <v>9</v>
      </c>
      <c r="B7" s="795" t="s">
        <v>532</v>
      </c>
      <c r="C7" s="248"/>
      <c r="D7" s="800" t="s">
        <v>532</v>
      </c>
      <c r="E7" s="801" t="s">
        <v>533</v>
      </c>
      <c r="F7" s="801" t="s">
        <v>534</v>
      </c>
      <c r="G7" s="801" t="s">
        <v>535</v>
      </c>
      <c r="H7" s="801" t="s">
        <v>536</v>
      </c>
      <c r="I7" s="801" t="s">
        <v>537</v>
      </c>
      <c r="J7" s="221">
        <v>0.6</v>
      </c>
    </row>
    <row r="8" spans="1:10" ht="15.75" customHeight="1">
      <c r="A8" s="802">
        <f>(A6*A6)*0.1166*A5*A7</f>
        <v>129.86324999999999</v>
      </c>
      <c r="B8" s="803" t="s">
        <v>379</v>
      </c>
      <c r="C8" s="248"/>
      <c r="D8" s="800">
        <v>1</v>
      </c>
      <c r="E8" s="804">
        <f t="shared" ref="E8:E20" si="0">($G$5*$G$5)*0.1166*$D$5*$D8*0.9</f>
        <v>12.986324999999999</v>
      </c>
      <c r="F8" s="804">
        <f t="shared" ref="F8:F20" si="1">($G$5*$G$5)*0.1166*$D$5*$D8*0.85</f>
        <v>12.264862499999998</v>
      </c>
      <c r="G8" s="804">
        <f t="shared" ref="G8:G20" si="2">($G$5*$G$5)*0.1166*$D$5*$D8*0.8</f>
        <v>11.543399999999998</v>
      </c>
      <c r="H8" s="804">
        <f t="shared" ref="H8:H20" si="3">($G$5*$G$5)*0.1166*$D$5*$D8*0.75</f>
        <v>10.821937499999999</v>
      </c>
      <c r="I8" s="804">
        <f t="shared" ref="I8:I20" si="4">($G$5*$G$5)*0.1166*$D$5*$D8*0.7</f>
        <v>10.100474999999998</v>
      </c>
      <c r="J8" s="805">
        <f t="shared" ref="J8:J20" si="5">($G$5*$G$5)*0.1166*$D$5*$D8*$J$7</f>
        <v>8.6575499999999987</v>
      </c>
    </row>
    <row r="9" spans="1:10" ht="15.75" customHeight="1">
      <c r="A9" s="222">
        <v>0.8</v>
      </c>
      <c r="B9" s="795" t="s">
        <v>376</v>
      </c>
      <c r="C9" s="248"/>
      <c r="D9" s="800">
        <v>2</v>
      </c>
      <c r="E9" s="804">
        <f t="shared" si="0"/>
        <v>25.972649999999998</v>
      </c>
      <c r="F9" s="804">
        <f t="shared" si="1"/>
        <v>24.529724999999996</v>
      </c>
      <c r="G9" s="804">
        <f t="shared" si="2"/>
        <v>23.086799999999997</v>
      </c>
      <c r="H9" s="804">
        <f t="shared" si="3"/>
        <v>21.643874999999998</v>
      </c>
      <c r="I9" s="804">
        <f t="shared" si="4"/>
        <v>20.200949999999995</v>
      </c>
      <c r="J9" s="805">
        <f t="shared" si="5"/>
        <v>17.315099999999997</v>
      </c>
    </row>
    <row r="10" spans="1:10" ht="15.75" customHeight="1">
      <c r="A10" s="802">
        <f>A8*A9</f>
        <v>103.89060000000001</v>
      </c>
      <c r="B10" s="806" t="s">
        <v>377</v>
      </c>
      <c r="C10" s="248"/>
      <c r="D10" s="800">
        <v>3</v>
      </c>
      <c r="E10" s="804">
        <f t="shared" si="0"/>
        <v>38.958974999999995</v>
      </c>
      <c r="F10" s="804">
        <f t="shared" si="1"/>
        <v>36.794587499999999</v>
      </c>
      <c r="G10" s="804">
        <f t="shared" si="2"/>
        <v>34.630199999999995</v>
      </c>
      <c r="H10" s="804">
        <f t="shared" si="3"/>
        <v>32.465812499999998</v>
      </c>
      <c r="I10" s="804">
        <f t="shared" si="4"/>
        <v>30.301424999999995</v>
      </c>
      <c r="J10" s="805">
        <f t="shared" si="5"/>
        <v>25.972649999999998</v>
      </c>
    </row>
    <row r="11" spans="1:10" ht="15.75" customHeight="1">
      <c r="A11" s="248"/>
      <c r="B11" s="248"/>
      <c r="C11" s="248"/>
      <c r="D11" s="800">
        <v>4</v>
      </c>
      <c r="E11" s="804">
        <f t="shared" si="0"/>
        <v>51.945299999999996</v>
      </c>
      <c r="F11" s="804">
        <f t="shared" si="1"/>
        <v>49.059449999999991</v>
      </c>
      <c r="G11" s="804">
        <f t="shared" si="2"/>
        <v>46.173599999999993</v>
      </c>
      <c r="H11" s="804">
        <f t="shared" si="3"/>
        <v>43.287749999999996</v>
      </c>
      <c r="I11" s="804">
        <f t="shared" si="4"/>
        <v>40.401899999999991</v>
      </c>
      <c r="J11" s="805">
        <f t="shared" si="5"/>
        <v>34.630199999999995</v>
      </c>
    </row>
    <row r="12" spans="1:10" ht="15.75" customHeight="1">
      <c r="A12" s="248"/>
      <c r="B12" s="248"/>
      <c r="C12" s="248"/>
      <c r="D12" s="800">
        <v>5</v>
      </c>
      <c r="E12" s="804">
        <f t="shared" si="0"/>
        <v>64.931624999999997</v>
      </c>
      <c r="F12" s="804">
        <f t="shared" si="1"/>
        <v>61.324312499999991</v>
      </c>
      <c r="G12" s="804">
        <f t="shared" si="2"/>
        <v>57.716999999999999</v>
      </c>
      <c r="H12" s="804">
        <f t="shared" si="3"/>
        <v>54.109687499999993</v>
      </c>
      <c r="I12" s="804">
        <f t="shared" si="4"/>
        <v>50.502374999999994</v>
      </c>
      <c r="J12" s="805">
        <f t="shared" si="5"/>
        <v>43.287749999999996</v>
      </c>
    </row>
    <row r="13" spans="1:10" ht="15.75" customHeight="1">
      <c r="A13" s="379" t="s">
        <v>666</v>
      </c>
      <c r="B13" s="248"/>
      <c r="C13" s="248"/>
      <c r="D13" s="800">
        <v>6</v>
      </c>
      <c r="E13" s="804">
        <f t="shared" si="0"/>
        <v>77.91794999999999</v>
      </c>
      <c r="F13" s="804">
        <f t="shared" si="1"/>
        <v>73.589174999999997</v>
      </c>
      <c r="G13" s="804">
        <f t="shared" si="2"/>
        <v>69.26039999999999</v>
      </c>
      <c r="H13" s="804">
        <f t="shared" si="3"/>
        <v>64.931624999999997</v>
      </c>
      <c r="I13" s="804">
        <f t="shared" si="4"/>
        <v>60.602849999999989</v>
      </c>
      <c r="J13" s="805">
        <f t="shared" si="5"/>
        <v>51.945299999999996</v>
      </c>
    </row>
    <row r="14" spans="1:10" ht="15.75" customHeight="1">
      <c r="A14" s="380" t="s">
        <v>762</v>
      </c>
      <c r="B14" s="248"/>
      <c r="C14" s="248"/>
      <c r="D14" s="800">
        <v>7</v>
      </c>
      <c r="E14" s="804">
        <f t="shared" si="0"/>
        <v>90.904274999999984</v>
      </c>
      <c r="F14" s="804">
        <f t="shared" si="1"/>
        <v>85.85403749999999</v>
      </c>
      <c r="G14" s="804">
        <f t="shared" si="2"/>
        <v>80.803799999999995</v>
      </c>
      <c r="H14" s="804">
        <f t="shared" si="3"/>
        <v>75.753562499999987</v>
      </c>
      <c r="I14" s="804">
        <f t="shared" si="4"/>
        <v>70.703324999999992</v>
      </c>
      <c r="J14" s="805">
        <f t="shared" si="5"/>
        <v>60.602849999999989</v>
      </c>
    </row>
    <row r="15" spans="1:10" ht="15.75" customHeight="1">
      <c r="A15" s="136" t="s">
        <v>763</v>
      </c>
      <c r="B15" s="248"/>
      <c r="C15" s="248"/>
      <c r="D15" s="800">
        <v>8</v>
      </c>
      <c r="E15" s="804">
        <f t="shared" si="0"/>
        <v>103.89059999999999</v>
      </c>
      <c r="F15" s="804">
        <f t="shared" si="1"/>
        <v>98.118899999999982</v>
      </c>
      <c r="G15" s="804">
        <f t="shared" si="2"/>
        <v>92.347199999999987</v>
      </c>
      <c r="H15" s="804">
        <f t="shared" si="3"/>
        <v>86.575499999999991</v>
      </c>
      <c r="I15" s="804">
        <f t="shared" si="4"/>
        <v>80.803799999999981</v>
      </c>
      <c r="J15" s="805">
        <f t="shared" si="5"/>
        <v>69.26039999999999</v>
      </c>
    </row>
    <row r="16" spans="1:10" ht="15.75" customHeight="1">
      <c r="A16" s="379" t="s">
        <v>766</v>
      </c>
      <c r="B16" s="248"/>
      <c r="C16" s="248"/>
      <c r="D16" s="800">
        <v>9</v>
      </c>
      <c r="E16" s="804">
        <f t="shared" si="0"/>
        <v>116.876925</v>
      </c>
      <c r="F16" s="804">
        <f t="shared" si="1"/>
        <v>110.38376249999999</v>
      </c>
      <c r="G16" s="804">
        <f t="shared" si="2"/>
        <v>103.89060000000001</v>
      </c>
      <c r="H16" s="804">
        <f t="shared" si="3"/>
        <v>97.397437499999995</v>
      </c>
      <c r="I16" s="804">
        <f t="shared" si="4"/>
        <v>90.904274999999984</v>
      </c>
      <c r="J16" s="805">
        <f t="shared" si="5"/>
        <v>77.91794999999999</v>
      </c>
    </row>
    <row r="17" spans="1:10" ht="15.75" customHeight="1">
      <c r="A17" s="379" t="s">
        <v>3</v>
      </c>
      <c r="B17" s="248"/>
      <c r="C17" s="248"/>
      <c r="D17" s="800">
        <v>10</v>
      </c>
      <c r="E17" s="804">
        <f t="shared" si="0"/>
        <v>129.86324999999999</v>
      </c>
      <c r="F17" s="804">
        <f t="shared" si="1"/>
        <v>122.64862499999998</v>
      </c>
      <c r="G17" s="804">
        <f t="shared" si="2"/>
        <v>115.434</v>
      </c>
      <c r="H17" s="804">
        <f t="shared" si="3"/>
        <v>108.21937499999999</v>
      </c>
      <c r="I17" s="804">
        <f t="shared" si="4"/>
        <v>101.00474999999999</v>
      </c>
      <c r="J17" s="805">
        <f t="shared" si="5"/>
        <v>86.575499999999991</v>
      </c>
    </row>
    <row r="18" spans="1:10" ht="15.75" customHeight="1">
      <c r="A18" s="248"/>
      <c r="B18" s="248"/>
      <c r="C18" s="248"/>
      <c r="D18" s="800">
        <v>11</v>
      </c>
      <c r="E18" s="804">
        <f t="shared" si="0"/>
        <v>142.84957499999999</v>
      </c>
      <c r="F18" s="804">
        <f t="shared" si="1"/>
        <v>134.91348749999997</v>
      </c>
      <c r="G18" s="804">
        <f t="shared" si="2"/>
        <v>126.97739999999999</v>
      </c>
      <c r="H18" s="804">
        <f t="shared" si="3"/>
        <v>119.04131249999999</v>
      </c>
      <c r="I18" s="804">
        <f t="shared" si="4"/>
        <v>111.10522499999999</v>
      </c>
      <c r="J18" s="805">
        <f t="shared" si="5"/>
        <v>95.233049999999992</v>
      </c>
    </row>
    <row r="19" spans="1:10" ht="15.75" customHeight="1">
      <c r="A19" s="248"/>
      <c r="B19" s="248"/>
      <c r="C19" s="248"/>
      <c r="D19" s="800">
        <v>12</v>
      </c>
      <c r="E19" s="804">
        <f t="shared" si="0"/>
        <v>155.83589999999998</v>
      </c>
      <c r="F19" s="804">
        <f t="shared" si="1"/>
        <v>147.17834999999999</v>
      </c>
      <c r="G19" s="804">
        <f t="shared" si="2"/>
        <v>138.52079999999998</v>
      </c>
      <c r="H19" s="804">
        <f t="shared" si="3"/>
        <v>129.86324999999999</v>
      </c>
      <c r="I19" s="804">
        <f t="shared" si="4"/>
        <v>121.20569999999998</v>
      </c>
      <c r="J19" s="805">
        <f t="shared" si="5"/>
        <v>103.89059999999999</v>
      </c>
    </row>
    <row r="20" spans="1:10" ht="16.5" customHeight="1">
      <c r="A20" s="248"/>
      <c r="B20" s="248"/>
      <c r="C20" s="248"/>
      <c r="D20" s="223">
        <v>9</v>
      </c>
      <c r="E20" s="807">
        <f t="shared" si="0"/>
        <v>116.876925</v>
      </c>
      <c r="F20" s="807">
        <f t="shared" si="1"/>
        <v>110.38376249999999</v>
      </c>
      <c r="G20" s="807">
        <f t="shared" si="2"/>
        <v>103.89060000000001</v>
      </c>
      <c r="H20" s="807">
        <f t="shared" si="3"/>
        <v>97.397437499999995</v>
      </c>
      <c r="I20" s="807">
        <f t="shared" si="4"/>
        <v>90.904274999999984</v>
      </c>
      <c r="J20" s="808">
        <f t="shared" si="5"/>
        <v>77.91794999999999</v>
      </c>
    </row>
    <row r="21" spans="1:10" ht="15.75" customHeight="1">
      <c r="A21" s="248"/>
      <c r="B21" s="809"/>
      <c r="C21" s="248"/>
      <c r="D21" s="247"/>
      <c r="E21" s="248"/>
      <c r="F21" s="248"/>
      <c r="G21" s="248"/>
      <c r="H21" s="248"/>
      <c r="I21" s="248"/>
      <c r="J21" s="247"/>
    </row>
    <row r="22" spans="1:10" ht="15.75" customHeight="1">
      <c r="A22" s="248"/>
      <c r="B22" s="809"/>
      <c r="C22" s="248"/>
      <c r="D22" s="247"/>
      <c r="E22" s="248"/>
      <c r="F22" s="248"/>
      <c r="G22" s="248"/>
      <c r="H22" s="248"/>
      <c r="I22" s="248"/>
      <c r="J22" s="247"/>
    </row>
    <row r="23" spans="1:10" ht="15.75" customHeight="1">
      <c r="A23" s="248"/>
      <c r="B23" s="809"/>
      <c r="C23" s="248"/>
      <c r="D23" s="247"/>
      <c r="E23" s="248"/>
      <c r="F23" s="248"/>
      <c r="G23" s="248"/>
      <c r="H23" s="248"/>
      <c r="I23" s="248"/>
      <c r="J23" s="247"/>
    </row>
    <row r="24" spans="1:10" ht="15.75" customHeight="1">
      <c r="A24" s="248"/>
      <c r="B24" s="248"/>
      <c r="C24" s="248"/>
      <c r="D24" s="247"/>
      <c r="E24" s="248"/>
      <c r="F24" s="248"/>
      <c r="G24" s="248"/>
      <c r="H24" s="248"/>
      <c r="I24" s="248"/>
      <c r="J24" s="247"/>
    </row>
    <row r="25" spans="1:10" ht="15.75" customHeight="1">
      <c r="A25" s="21"/>
      <c r="B25" s="21"/>
      <c r="C25" s="248"/>
      <c r="D25" s="247"/>
      <c r="E25" s="248"/>
      <c r="F25" s="248"/>
      <c r="G25" s="248"/>
      <c r="H25" s="248"/>
      <c r="I25" s="248"/>
      <c r="J25" s="247"/>
    </row>
    <row r="26" spans="1:10" ht="15.75" customHeight="1">
      <c r="A26" s="21"/>
      <c r="B26" s="21"/>
      <c r="C26" s="248"/>
      <c r="D26" s="247"/>
      <c r="E26" s="248"/>
      <c r="F26" s="248"/>
      <c r="G26" s="248"/>
      <c r="H26" s="248"/>
      <c r="I26" s="248"/>
      <c r="J26" s="247"/>
    </row>
    <row r="27" spans="1:10" ht="15.75" customHeight="1">
      <c r="A27" s="21"/>
      <c r="B27" s="21"/>
      <c r="C27" s="248"/>
      <c r="D27" s="247"/>
      <c r="E27" s="248"/>
      <c r="F27" s="248"/>
      <c r="G27" s="248"/>
      <c r="H27" s="248"/>
      <c r="I27" s="248"/>
      <c r="J27" s="247"/>
    </row>
    <row r="28" spans="1:10" ht="15.75" customHeight="1">
      <c r="A28" s="21"/>
      <c r="B28" s="21"/>
      <c r="C28" s="248"/>
      <c r="D28" s="247"/>
      <c r="E28" s="248"/>
      <c r="F28" s="248"/>
      <c r="G28" s="248"/>
      <c r="H28" s="248"/>
      <c r="I28" s="248"/>
      <c r="J28" s="247"/>
    </row>
    <row r="29" spans="1:10" ht="15.75" customHeight="1">
      <c r="A29" s="248"/>
      <c r="B29" s="248"/>
      <c r="C29" s="248"/>
      <c r="D29" s="247"/>
      <c r="E29" s="248"/>
      <c r="F29" s="248"/>
      <c r="G29" s="248"/>
      <c r="H29" s="248"/>
      <c r="I29" s="248"/>
      <c r="J29" s="247"/>
    </row>
    <row r="30" spans="1:10" ht="15.75" customHeight="1">
      <c r="A30" s="248"/>
      <c r="B30" s="248"/>
      <c r="C30" s="248"/>
      <c r="D30" s="247"/>
      <c r="E30" s="248"/>
      <c r="F30" s="248"/>
      <c r="G30" s="248"/>
      <c r="H30" s="248"/>
      <c r="I30" s="248"/>
      <c r="J30" s="247"/>
    </row>
    <row r="31" spans="1:10" ht="15.75" customHeight="1">
      <c r="A31" s="248"/>
      <c r="B31" s="248"/>
      <c r="C31" s="248"/>
      <c r="D31" s="247"/>
      <c r="E31" s="248"/>
      <c r="F31" s="248"/>
      <c r="G31" s="248"/>
      <c r="H31" s="248"/>
      <c r="I31" s="248"/>
      <c r="J31" s="247"/>
    </row>
    <row r="32" spans="1:10" ht="15.75" customHeight="1">
      <c r="A32" s="248"/>
      <c r="B32" s="248"/>
      <c r="C32" s="248"/>
      <c r="D32" s="247"/>
      <c r="E32" s="248"/>
      <c r="F32" s="248"/>
      <c r="G32" s="248"/>
      <c r="H32" s="248"/>
      <c r="I32" s="248"/>
      <c r="J32" s="247"/>
    </row>
    <row r="33" spans="1:10" ht="15.75" customHeight="1">
      <c r="A33" s="248"/>
      <c r="B33" s="248"/>
      <c r="C33" s="248"/>
      <c r="D33" s="247"/>
      <c r="E33" s="248"/>
      <c r="F33" s="248"/>
      <c r="G33" s="248"/>
      <c r="H33" s="248"/>
      <c r="I33" s="248"/>
      <c r="J33" s="247"/>
    </row>
    <row r="34" spans="1:10" ht="15.75" customHeight="1">
      <c r="A34" s="248"/>
      <c r="B34" s="248"/>
      <c r="C34" s="248"/>
      <c r="D34" s="247"/>
      <c r="E34" s="248"/>
      <c r="F34" s="248"/>
      <c r="G34" s="248"/>
      <c r="H34" s="248"/>
      <c r="I34" s="248"/>
      <c r="J34" s="247"/>
    </row>
    <row r="35" spans="1:10" ht="15.75" customHeight="1">
      <c r="A35" s="248"/>
      <c r="B35" s="248"/>
      <c r="C35" s="248"/>
      <c r="D35" s="247"/>
      <c r="E35" s="248"/>
      <c r="F35" s="248"/>
      <c r="G35" s="248"/>
      <c r="H35" s="248"/>
      <c r="I35" s="248"/>
      <c r="J35" s="247"/>
    </row>
    <row r="36" spans="1:10" ht="15.75" customHeight="1">
      <c r="A36" s="248"/>
      <c r="B36" s="248"/>
      <c r="C36" s="248"/>
      <c r="D36" s="247"/>
      <c r="E36" s="248"/>
      <c r="F36" s="248"/>
      <c r="G36" s="248"/>
      <c r="H36" s="248"/>
      <c r="I36" s="248"/>
      <c r="J36" s="247"/>
    </row>
    <row r="37" spans="1:10" ht="15.75" customHeight="1">
      <c r="A37" s="248"/>
      <c r="B37" s="248"/>
      <c r="C37" s="248"/>
      <c r="D37" s="247"/>
      <c r="E37" s="248"/>
      <c r="F37" s="248"/>
      <c r="G37" s="248"/>
      <c r="H37" s="248"/>
      <c r="I37" s="248"/>
      <c r="J37" s="247"/>
    </row>
  </sheetData>
  <sheetProtection algorithmName="SHA-512" hashValue="ak7J4gcX15hiZXxOhUYK1vKmUusoTccPKo7Jsks+9GK9yFDPzCTMmCwNweNGFtz8ndw9rb+bm+iG7qTbKexe4g==" saltValue="tyYJRHNf8fYJXy9UOrXRIQ==" spinCount="100000" sheet="1" objects="1" scenarios="1"/>
  <hyperlinks>
    <hyperlink ref="A14" r:id="rId1" display="wyomingelectrician@gmail.com" xr:uid="{00000000-0004-0000-1000-000000000000}"/>
  </hyperlinks>
  <pageMargins left="0.74791666666666667" right="0.74791666666666667" top="0.98402777777777772" bottom="0.98402777777777772" header="0.51180555555555551" footer="0.51180555555555551"/>
  <pageSetup scale="75" firstPageNumber="0" orientation="landscape" horizontalDpi="300" verticalDpi="300" r:id="rId2"/>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pageSetUpPr fitToPage="1"/>
  </sheetPr>
  <dimension ref="A1:F21"/>
  <sheetViews>
    <sheetView workbookViewId="0">
      <selection activeCell="C8" sqref="C8"/>
    </sheetView>
  </sheetViews>
  <sheetFormatPr defaultColWidth="17.28515625" defaultRowHeight="15.75" customHeight="1"/>
  <cols>
    <col min="1" max="1" width="20" style="780" customWidth="1"/>
    <col min="2" max="2" width="57.28515625" style="778" customWidth="1"/>
    <col min="3" max="3" width="43.42578125" style="778" customWidth="1"/>
    <col min="4" max="6" width="21.28515625" style="778" customWidth="1"/>
    <col min="7" max="16384" width="17.28515625" style="778"/>
  </cols>
  <sheetData>
    <row r="1" spans="1:6" ht="18" customHeight="1">
      <c r="A1" s="40" t="s">
        <v>390</v>
      </c>
      <c r="B1" s="771">
        <v>40681</v>
      </c>
      <c r="C1" s="655"/>
      <c r="D1" s="641"/>
      <c r="E1" s="641"/>
      <c r="F1" s="641"/>
    </row>
    <row r="2" spans="1:6" ht="18" customHeight="1">
      <c r="A2" s="40" t="s">
        <v>391</v>
      </c>
      <c r="B2" s="771">
        <v>40792</v>
      </c>
      <c r="C2" s="769"/>
      <c r="D2" s="641"/>
      <c r="E2" s="641"/>
      <c r="F2" s="641"/>
    </row>
    <row r="3" spans="1:6" ht="18" customHeight="1">
      <c r="A3" s="40" t="s">
        <v>392</v>
      </c>
      <c r="B3" s="773" t="str">
        <f>((((((YEAR(B2)-YEAR(B1))-IF(OR((MONTH(B2)&lt;MONTH(B1)),AND((MONTH(B2)=MONTH(B1)),(DAY(B2)&lt;DAY(B1)))),1,0))&amp;" years, ")&amp;((MONTH(B2)-MONTH(B1))+IF(AND((MONTH(B2)&lt;=MONTH(B1)),(DAY(B2)&lt;DAY(B1))),11,IF(AND((MONTH(B2)&lt;MONTH(B1)),(DAY(B2)&gt;=DAY(B1))),12,IF(AND((MONTH(B2)&gt;MONTH(B1)),(DAY(B2)&lt;DAY(B1))),-1)))))&amp;" months, ")&amp;(B2-DATE(YEAR(B2),(MONTH(B2)-IF((DAY(B2)&lt;DAY(B1)),1,0)),DAY(B1))))&amp;" days"</f>
        <v>0 years, 3 months, 19 days</v>
      </c>
      <c r="C3" s="641"/>
      <c r="D3" s="641"/>
      <c r="E3" s="641"/>
      <c r="F3" s="641"/>
    </row>
    <row r="4" spans="1:6" ht="18" customHeight="1">
      <c r="A4" s="40"/>
      <c r="B4" s="769"/>
      <c r="C4" s="641"/>
      <c r="D4" s="641"/>
      <c r="E4" s="641"/>
      <c r="F4" s="641"/>
    </row>
    <row r="5" spans="1:6" ht="18" customHeight="1">
      <c r="A5" s="265"/>
      <c r="B5" s="770"/>
      <c r="C5" s="641"/>
      <c r="D5" s="641"/>
      <c r="E5" s="641"/>
      <c r="F5" s="641"/>
    </row>
    <row r="6" spans="1:6" ht="18" customHeight="1">
      <c r="A6" s="40" t="s">
        <v>390</v>
      </c>
      <c r="B6" s="771">
        <v>18264</v>
      </c>
      <c r="C6" s="655"/>
      <c r="D6" s="641"/>
      <c r="E6" s="641"/>
      <c r="F6" s="641"/>
    </row>
    <row r="7" spans="1:6" ht="18" customHeight="1">
      <c r="A7" s="40" t="s">
        <v>393</v>
      </c>
      <c r="B7" s="774">
        <f ca="1">NOW()</f>
        <v>43148.783123263885</v>
      </c>
      <c r="C7" s="641"/>
      <c r="D7" s="641"/>
      <c r="E7" s="641"/>
      <c r="F7" s="641"/>
    </row>
    <row r="8" spans="1:6" ht="18" customHeight="1">
      <c r="A8" s="40" t="s">
        <v>392</v>
      </c>
      <c r="B8" s="775" t="str">
        <f ca="1">((((((YEAR(B7)-YEAR(B6))-IF(OR((MONTH(B7)&lt;MONTH(B6)),AND((MONTH(B7)=MONTH(B6)),(DAY(B7)&lt;DAY(B6)))),1,0))&amp;" years, ")&amp;((MONTH(B7)-MONTH(B6))+IF(AND((MONTH(B7)&lt;=MONTH(B6)),(DAY(B7)&lt;DAY(B6))),11,IF(AND((MONTH(B7)&lt;MONTH(B6)),(DAY(B7)&gt;=DAY(B6))),12,IF(AND((MONTH(B7)&gt;MONTH(B6)),(DAY(B7)&lt;DAY(B6))),-1)))))&amp;" months, ")&amp;(B7-DATE(YEAR(B7),(MONTH(B7)-IF((DAY(B7)&lt;DAY(B6)),1,0)),DAY(B6))))&amp;" days"</f>
        <v>68 years, 1 months, 16.7831232638855 days</v>
      </c>
      <c r="C8" s="641"/>
      <c r="D8" s="641"/>
      <c r="E8" s="641"/>
      <c r="F8" s="641"/>
    </row>
    <row r="9" spans="1:6" ht="18" customHeight="1">
      <c r="A9" s="267"/>
      <c r="B9" s="641"/>
      <c r="C9" s="641"/>
      <c r="D9" s="641"/>
      <c r="E9" s="641"/>
      <c r="F9" s="641"/>
    </row>
    <row r="10" spans="1:6" ht="18" customHeight="1">
      <c r="A10" s="267"/>
      <c r="B10" s="641"/>
      <c r="C10" s="641"/>
      <c r="D10" s="641"/>
      <c r="E10" s="641"/>
      <c r="F10" s="641"/>
    </row>
    <row r="11" spans="1:6" ht="18" customHeight="1">
      <c r="A11" s="265" t="s">
        <v>393</v>
      </c>
      <c r="B11" s="776">
        <f ca="1">TODAY()</f>
        <v>43148</v>
      </c>
      <c r="C11" s="772"/>
      <c r="D11" s="641"/>
      <c r="E11" s="641"/>
      <c r="F11" s="641"/>
    </row>
    <row r="12" spans="1:6" ht="18" customHeight="1">
      <c r="A12" s="265" t="s">
        <v>394</v>
      </c>
      <c r="B12" s="777">
        <v>20</v>
      </c>
      <c r="C12" s="776">
        <f ca="1">B11+B12</f>
        <v>43168</v>
      </c>
      <c r="D12" s="641"/>
      <c r="E12" s="641"/>
      <c r="F12" s="641"/>
    </row>
    <row r="13" spans="1:6" ht="18" customHeight="1">
      <c r="A13" s="40" t="s">
        <v>395</v>
      </c>
      <c r="B13" s="777">
        <v>7</v>
      </c>
      <c r="C13" s="776">
        <f ca="1">(B13*7)+B11</f>
        <v>43197</v>
      </c>
      <c r="D13" s="641"/>
      <c r="E13" s="641"/>
      <c r="F13" s="641"/>
    </row>
    <row r="14" spans="1:6" ht="18" customHeight="1">
      <c r="A14" s="40" t="s">
        <v>396</v>
      </c>
      <c r="B14" s="777">
        <v>18</v>
      </c>
      <c r="C14" s="776">
        <f ca="1">DATE(YEAR(B11),(MONTH(B11)+B14),DAY(B11))</f>
        <v>43694</v>
      </c>
      <c r="D14" s="641"/>
      <c r="E14" s="641"/>
      <c r="F14" s="641"/>
    </row>
    <row r="15" spans="1:6" ht="18" customHeight="1">
      <c r="A15" s="267"/>
      <c r="B15" s="641"/>
      <c r="C15" s="641"/>
      <c r="D15" s="641"/>
      <c r="E15" s="641"/>
      <c r="F15" s="641"/>
    </row>
    <row r="16" spans="1:6" ht="18" customHeight="1">
      <c r="A16" s="767" t="s">
        <v>666</v>
      </c>
      <c r="B16" s="641"/>
      <c r="C16" s="641"/>
      <c r="D16" s="641"/>
      <c r="E16" s="641"/>
      <c r="F16" s="641"/>
    </row>
    <row r="17" spans="1:6" ht="18" customHeight="1">
      <c r="A17" s="768" t="s">
        <v>762</v>
      </c>
      <c r="B17" s="641"/>
      <c r="C17" s="641"/>
      <c r="D17" s="641"/>
      <c r="E17" s="641"/>
      <c r="F17" s="641"/>
    </row>
    <row r="18" spans="1:6" ht="18" customHeight="1">
      <c r="A18" s="779" t="s">
        <v>763</v>
      </c>
      <c r="B18" s="641"/>
      <c r="C18" s="641"/>
      <c r="D18" s="641"/>
      <c r="E18" s="641"/>
      <c r="F18" s="641"/>
    </row>
    <row r="19" spans="1:6" ht="18" customHeight="1">
      <c r="A19" s="767" t="s">
        <v>766</v>
      </c>
      <c r="B19" s="641"/>
      <c r="C19" s="641"/>
      <c r="D19" s="641"/>
      <c r="E19" s="641"/>
      <c r="F19" s="641"/>
    </row>
    <row r="20" spans="1:6" ht="18" customHeight="1">
      <c r="A20" s="767" t="s">
        <v>3</v>
      </c>
      <c r="B20" s="641"/>
      <c r="C20" s="641"/>
      <c r="D20" s="641"/>
      <c r="E20" s="641"/>
      <c r="F20" s="641"/>
    </row>
    <row r="21" spans="1:6" ht="18" customHeight="1">
      <c r="A21" s="267"/>
      <c r="B21" s="641"/>
      <c r="C21" s="641"/>
      <c r="D21" s="641"/>
      <c r="E21" s="641"/>
      <c r="F21" s="641"/>
    </row>
  </sheetData>
  <sheetProtection algorithmName="SHA-512" hashValue="rAwE9ndxzef/DKlidxg8lA+zGLGdG7L+2eSUcYCGK+PWcORJtQuOv0HAhkPJKdFmQm1JKIkY4KtcV7vru1jqng==" saltValue="0pULb21htXRDriZfKBgx5Q==" spinCount="100000" sheet="1" objects="1" scenarios="1"/>
  <pageMargins left="0.74791666666666667" right="0.74791666666666667" top="0.98402777777777772" bottom="0.98402777777777772" header="0.51180555555555551" footer="0.51180555555555551"/>
  <pageSetup firstPageNumber="0"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1:N39"/>
  <sheetViews>
    <sheetView workbookViewId="0">
      <selection activeCell="M40" sqref="M40"/>
    </sheetView>
  </sheetViews>
  <sheetFormatPr defaultColWidth="9.140625" defaultRowHeight="12.75"/>
  <cols>
    <col min="1" max="1" width="16.42578125" style="998" customWidth="1"/>
    <col min="2" max="2" width="15.42578125" style="998" customWidth="1"/>
    <col min="3" max="3" width="21" style="998" bestFit="1" customWidth="1"/>
    <col min="4" max="4" width="9.140625" style="999" bestFit="1" customWidth="1"/>
    <col min="5" max="5" width="2" style="998" customWidth="1"/>
    <col min="6" max="6" width="7" style="998" bestFit="1" customWidth="1"/>
    <col min="7" max="7" width="8.85546875" style="998" bestFit="1" customWidth="1"/>
    <col min="8" max="9" width="9.7109375" style="998" bestFit="1" customWidth="1"/>
    <col min="10" max="11" width="10.28515625" style="998" bestFit="1" customWidth="1"/>
    <col min="12" max="12" width="19.140625" style="998" bestFit="1" customWidth="1"/>
    <col min="13" max="13" width="9" style="998" bestFit="1" customWidth="1"/>
    <col min="14" max="14" width="10.28515625" style="998" bestFit="1" customWidth="1"/>
    <col min="15" max="16384" width="9.140625" style="998"/>
  </cols>
  <sheetData>
    <row r="1" spans="1:14">
      <c r="A1" s="732" t="s">
        <v>1088</v>
      </c>
      <c r="G1" s="939" t="s">
        <v>1089</v>
      </c>
      <c r="H1" s="939" t="s">
        <v>1090</v>
      </c>
      <c r="I1" s="939" t="s">
        <v>1091</v>
      </c>
      <c r="J1" s="939" t="s">
        <v>1092</v>
      </c>
      <c r="M1" s="1275">
        <v>42689</v>
      </c>
      <c r="N1" s="1276"/>
    </row>
    <row r="2" spans="1:14">
      <c r="F2" s="732" t="s">
        <v>1093</v>
      </c>
      <c r="G2" s="939" t="s">
        <v>35</v>
      </c>
      <c r="H2" s="939" t="s">
        <v>35</v>
      </c>
      <c r="I2" s="939" t="s">
        <v>210</v>
      </c>
      <c r="J2" s="939" t="s">
        <v>1094</v>
      </c>
    </row>
    <row r="3" spans="1:14">
      <c r="A3" s="998" t="s">
        <v>1095</v>
      </c>
      <c r="B3" s="1000" t="s">
        <v>1096</v>
      </c>
      <c r="C3" s="998" t="s">
        <v>1097</v>
      </c>
      <c r="D3" s="999">
        <f>VLOOKUP(B3,F4:G12,2,FALSE)</f>
        <v>2</v>
      </c>
      <c r="F3" s="1001" t="s">
        <v>1098</v>
      </c>
      <c r="G3" s="1002">
        <v>0</v>
      </c>
      <c r="H3" s="1002">
        <v>0</v>
      </c>
      <c r="I3" s="1003">
        <v>1</v>
      </c>
      <c r="J3" s="1002"/>
      <c r="L3" s="1021" t="s">
        <v>1068</v>
      </c>
      <c r="M3" s="734"/>
      <c r="N3" s="1022"/>
    </row>
    <row r="4" spans="1:14">
      <c r="A4" s="998" t="s">
        <v>1099</v>
      </c>
      <c r="B4" s="1000" t="s">
        <v>1100</v>
      </c>
      <c r="C4" s="998" t="s">
        <v>1101</v>
      </c>
      <c r="D4" s="999">
        <f>VLOOKUP(B4,F3:H12,3,FALSE)</f>
        <v>5</v>
      </c>
      <c r="F4" s="1001" t="s">
        <v>1102</v>
      </c>
      <c r="G4" s="1002">
        <v>1</v>
      </c>
      <c r="H4" s="1002">
        <v>1</v>
      </c>
      <c r="I4" s="1003">
        <v>10</v>
      </c>
      <c r="J4" s="1002"/>
      <c r="L4" s="1027">
        <f>M4</f>
        <v>9.9999999999999998E-13</v>
      </c>
      <c r="M4" s="1023">
        <v>9.9999999999999998E-13</v>
      </c>
      <c r="N4" s="1001" t="s">
        <v>1131</v>
      </c>
    </row>
    <row r="5" spans="1:14">
      <c r="A5" s="998" t="s">
        <v>1103</v>
      </c>
      <c r="B5" s="1000" t="s">
        <v>1102</v>
      </c>
      <c r="C5" s="998" t="s">
        <v>210</v>
      </c>
      <c r="D5" s="1004">
        <f>VLOOKUP(B5,F3:I14,4,FALSE)</f>
        <v>10</v>
      </c>
      <c r="F5" s="1001" t="s">
        <v>1096</v>
      </c>
      <c r="G5" s="1002">
        <v>2</v>
      </c>
      <c r="H5" s="1002">
        <v>2</v>
      </c>
      <c r="I5" s="1003">
        <v>100</v>
      </c>
      <c r="J5" s="1002"/>
      <c r="L5" s="1026">
        <f>M5</f>
        <v>1.0000000000000001E-9</v>
      </c>
      <c r="M5" s="1029">
        <v>1.0000000000000001E-9</v>
      </c>
      <c r="N5" s="876" t="s">
        <v>1130</v>
      </c>
    </row>
    <row r="6" spans="1:14">
      <c r="A6" s="998" t="s">
        <v>1104</v>
      </c>
      <c r="B6" s="1000" t="s">
        <v>1105</v>
      </c>
      <c r="C6" s="998" t="s">
        <v>1094</v>
      </c>
      <c r="D6" s="1005">
        <f>VLOOKUP(B6,F13:J15,5,FALSE)</f>
        <v>0.05</v>
      </c>
      <c r="F6" s="1001" t="s">
        <v>1106</v>
      </c>
      <c r="G6" s="1002">
        <v>3</v>
      </c>
      <c r="H6" s="1002">
        <v>3</v>
      </c>
      <c r="I6" s="1003">
        <v>1000</v>
      </c>
      <c r="J6" s="1002"/>
      <c r="L6" s="1025">
        <f t="shared" ref="L6:L12" si="0">M6</f>
        <v>9.9999999999999995E-7</v>
      </c>
      <c r="M6" s="1029">
        <v>9.9999999999999995E-7</v>
      </c>
      <c r="N6" s="876" t="s">
        <v>1128</v>
      </c>
    </row>
    <row r="7" spans="1:14">
      <c r="A7" s="732" t="str">
        <f>C12</f>
        <v>Calculated Value</v>
      </c>
      <c r="B7" s="1006">
        <f>B12</f>
        <v>250</v>
      </c>
      <c r="C7" s="732" t="s">
        <v>144</v>
      </c>
      <c r="F7" s="1001" t="s">
        <v>1107</v>
      </c>
      <c r="G7" s="1002">
        <v>4</v>
      </c>
      <c r="H7" s="1002">
        <v>4</v>
      </c>
      <c r="I7" s="1003">
        <v>10000</v>
      </c>
      <c r="J7" s="1002"/>
      <c r="L7" s="1024">
        <f t="shared" si="0"/>
        <v>1E-3</v>
      </c>
      <c r="M7" s="1029">
        <v>1E-3</v>
      </c>
      <c r="N7" s="876" t="s">
        <v>1127</v>
      </c>
    </row>
    <row r="8" spans="1:14">
      <c r="A8" s="732" t="str">
        <f>C12</f>
        <v>Calculated Value</v>
      </c>
      <c r="B8" s="1007" t="str">
        <f>CONCATENATE((B10*B11)," Ω")</f>
        <v>250 Ω</v>
      </c>
      <c r="F8" s="1001" t="s">
        <v>1100</v>
      </c>
      <c r="G8" s="1002">
        <v>5</v>
      </c>
      <c r="H8" s="1002">
        <v>5</v>
      </c>
      <c r="I8" s="1003">
        <v>100000</v>
      </c>
      <c r="J8" s="1002"/>
      <c r="L8" s="1028">
        <f t="shared" si="0"/>
        <v>1</v>
      </c>
      <c r="M8" s="1029">
        <v>1</v>
      </c>
      <c r="N8" s="876" t="s">
        <v>1123</v>
      </c>
    </row>
    <row r="9" spans="1:14">
      <c r="F9" s="1001" t="s">
        <v>1108</v>
      </c>
      <c r="G9" s="1002">
        <v>6</v>
      </c>
      <c r="H9" s="1002">
        <v>6</v>
      </c>
      <c r="I9" s="1003">
        <v>100000</v>
      </c>
      <c r="J9" s="1002"/>
      <c r="L9" s="1028">
        <f t="shared" si="0"/>
        <v>1000</v>
      </c>
      <c r="M9" s="1029">
        <v>1000</v>
      </c>
      <c r="N9" s="876" t="s">
        <v>1124</v>
      </c>
    </row>
    <row r="10" spans="1:14">
      <c r="A10" s="1008" t="s">
        <v>35</v>
      </c>
      <c r="B10" s="1009" t="str">
        <f>CONCATENATE(D3,D4)</f>
        <v>25</v>
      </c>
      <c r="C10" s="1010" t="s">
        <v>1109</v>
      </c>
      <c r="F10" s="1001" t="s">
        <v>1110</v>
      </c>
      <c r="G10" s="1002">
        <v>7</v>
      </c>
      <c r="H10" s="1002">
        <v>7</v>
      </c>
      <c r="I10" s="1003">
        <v>10000000</v>
      </c>
      <c r="J10" s="1002"/>
      <c r="L10" s="1028">
        <f t="shared" si="0"/>
        <v>1000000</v>
      </c>
      <c r="M10" s="1029">
        <v>1000000</v>
      </c>
      <c r="N10" s="1001" t="s">
        <v>1125</v>
      </c>
    </row>
    <row r="11" spans="1:14">
      <c r="A11" s="1008"/>
      <c r="B11" s="1011">
        <f>D5</f>
        <v>10</v>
      </c>
      <c r="C11" s="998" t="s">
        <v>210</v>
      </c>
      <c r="F11" s="1001" t="s">
        <v>1111</v>
      </c>
      <c r="G11" s="1002">
        <v>8</v>
      </c>
      <c r="H11" s="1002">
        <v>8</v>
      </c>
      <c r="I11" s="1003">
        <v>100000000</v>
      </c>
      <c r="J11" s="1002"/>
      <c r="L11" s="1028">
        <f t="shared" si="0"/>
        <v>1000000000</v>
      </c>
      <c r="M11" s="1029">
        <v>1000000000</v>
      </c>
      <c r="N11" s="1001" t="s">
        <v>1129</v>
      </c>
    </row>
    <row r="12" spans="1:14">
      <c r="A12" s="1008"/>
      <c r="B12" s="1012">
        <f>B10*B11</f>
        <v>250</v>
      </c>
      <c r="C12" s="998" t="s">
        <v>1112</v>
      </c>
      <c r="D12" s="1031">
        <f>1</f>
        <v>1</v>
      </c>
      <c r="F12" s="1001" t="s">
        <v>1113</v>
      </c>
      <c r="G12" s="1002">
        <v>9</v>
      </c>
      <c r="H12" s="1002">
        <v>9</v>
      </c>
      <c r="I12" s="1003">
        <v>1000000000</v>
      </c>
      <c r="J12" s="1002"/>
      <c r="L12" s="1028">
        <f t="shared" si="0"/>
        <v>1000000000000</v>
      </c>
      <c r="M12" s="1029">
        <v>1000000000000</v>
      </c>
      <c r="N12" s="1001" t="s">
        <v>1126</v>
      </c>
    </row>
    <row r="13" spans="1:14">
      <c r="A13" s="1008"/>
      <c r="B13" s="1012">
        <f>B12*(1+D6)</f>
        <v>262.5</v>
      </c>
      <c r="C13" s="998" t="s">
        <v>1114</v>
      </c>
      <c r="D13" s="1030">
        <f>1+D6</f>
        <v>1.05</v>
      </c>
      <c r="F13" s="1001" t="s">
        <v>1105</v>
      </c>
      <c r="G13" s="1002"/>
      <c r="H13" s="1002"/>
      <c r="I13" s="1003">
        <v>0.1</v>
      </c>
      <c r="J13" s="1013">
        <v>0.05</v>
      </c>
    </row>
    <row r="14" spans="1:14">
      <c r="A14" s="1008"/>
      <c r="B14" s="1012">
        <f>B12*(1-D6)</f>
        <v>237.5</v>
      </c>
      <c r="C14" s="998" t="s">
        <v>1115</v>
      </c>
      <c r="D14" s="1030">
        <f>1-D6</f>
        <v>0.95</v>
      </c>
      <c r="F14" s="1001" t="s">
        <v>1116</v>
      </c>
      <c r="G14" s="1002"/>
      <c r="H14" s="1002"/>
      <c r="I14" s="1003">
        <v>0.01</v>
      </c>
      <c r="J14" s="1013">
        <v>0.1</v>
      </c>
    </row>
    <row r="15" spans="1:14">
      <c r="D15" s="1030" t="s">
        <v>35</v>
      </c>
      <c r="F15" s="1001" t="s">
        <v>1117</v>
      </c>
      <c r="G15" s="1002"/>
      <c r="H15" s="1002"/>
      <c r="I15" s="1003"/>
      <c r="J15" s="1013">
        <v>0.2</v>
      </c>
      <c r="K15" s="998" t="s">
        <v>35</v>
      </c>
    </row>
    <row r="19" spans="1:14">
      <c r="A19" s="732" t="s">
        <v>1118</v>
      </c>
      <c r="G19" s="939" t="s">
        <v>1089</v>
      </c>
      <c r="H19" s="939" t="s">
        <v>1090</v>
      </c>
      <c r="I19" s="939" t="s">
        <v>1091</v>
      </c>
      <c r="J19" s="939" t="s">
        <v>1092</v>
      </c>
      <c r="K19" s="939" t="s">
        <v>1119</v>
      </c>
      <c r="N19" s="939" t="s">
        <v>1119</v>
      </c>
    </row>
    <row r="20" spans="1:14">
      <c r="F20" s="732" t="s">
        <v>1093</v>
      </c>
      <c r="G20" s="999"/>
      <c r="H20" s="999"/>
      <c r="I20" s="999"/>
      <c r="J20" s="939" t="s">
        <v>210</v>
      </c>
      <c r="K20" s="939" t="s">
        <v>1094</v>
      </c>
      <c r="L20" s="732"/>
      <c r="M20" s="732" t="s">
        <v>1093</v>
      </c>
      <c r="N20" s="732" t="s">
        <v>1094</v>
      </c>
    </row>
    <row r="21" spans="1:14">
      <c r="A21" s="998" t="s">
        <v>1095</v>
      </c>
      <c r="B21" s="1000" t="s">
        <v>1096</v>
      </c>
      <c r="C21" s="998" t="s">
        <v>1097</v>
      </c>
      <c r="D21" s="999">
        <f>VLOOKUP(B21,F22:G30,2,FALSE)</f>
        <v>2</v>
      </c>
      <c r="F21" s="1001" t="s">
        <v>1098</v>
      </c>
      <c r="G21" s="1002">
        <v>0</v>
      </c>
      <c r="H21" s="1002">
        <v>0</v>
      </c>
      <c r="I21" s="1002">
        <v>0</v>
      </c>
      <c r="J21" s="1003">
        <v>1</v>
      </c>
      <c r="K21" s="1014"/>
      <c r="M21" s="1001" t="s">
        <v>1102</v>
      </c>
      <c r="N21" s="1014">
        <v>0.01</v>
      </c>
    </row>
    <row r="22" spans="1:14">
      <c r="A22" s="998" t="s">
        <v>1099</v>
      </c>
      <c r="B22" s="1000" t="s">
        <v>1100</v>
      </c>
      <c r="C22" s="998" t="s">
        <v>1101</v>
      </c>
      <c r="D22" s="999">
        <f>VLOOKUP(B22,F21:H30,3,FALSE)</f>
        <v>5</v>
      </c>
      <c r="F22" s="1001" t="s">
        <v>1102</v>
      </c>
      <c r="G22" s="1002">
        <v>1</v>
      </c>
      <c r="H22" s="1002">
        <v>1</v>
      </c>
      <c r="I22" s="1002">
        <v>1</v>
      </c>
      <c r="J22" s="1003">
        <v>10</v>
      </c>
      <c r="K22" s="1014">
        <v>0.01</v>
      </c>
      <c r="M22" s="1001" t="s">
        <v>1096</v>
      </c>
      <c r="N22" s="1014">
        <v>0.02</v>
      </c>
    </row>
    <row r="23" spans="1:14">
      <c r="A23" s="998" t="s">
        <v>1103</v>
      </c>
      <c r="B23" s="1000" t="s">
        <v>1098</v>
      </c>
      <c r="C23" s="998" t="s">
        <v>1120</v>
      </c>
      <c r="D23" s="999">
        <f>VLOOKUP(B23,F21:I30,4,FALSE)</f>
        <v>0</v>
      </c>
      <c r="F23" s="1001" t="s">
        <v>1096</v>
      </c>
      <c r="G23" s="1002">
        <v>2</v>
      </c>
      <c r="H23" s="1002">
        <v>2</v>
      </c>
      <c r="I23" s="1002">
        <v>2</v>
      </c>
      <c r="J23" s="1003">
        <v>100</v>
      </c>
      <c r="K23" s="1014">
        <v>0.02</v>
      </c>
      <c r="M23" s="1001" t="s">
        <v>1100</v>
      </c>
      <c r="N23" s="1014">
        <v>5.0000000000000001E-3</v>
      </c>
    </row>
    <row r="24" spans="1:14">
      <c r="A24" s="998" t="s">
        <v>1104</v>
      </c>
      <c r="B24" s="1000" t="s">
        <v>1098</v>
      </c>
      <c r="C24" s="998" t="s">
        <v>210</v>
      </c>
      <c r="D24" s="1004">
        <f>VLOOKUP(B24,F21:J32,5,FALSE)</f>
        <v>1</v>
      </c>
      <c r="F24" s="1001" t="s">
        <v>1106</v>
      </c>
      <c r="G24" s="1002">
        <v>3</v>
      </c>
      <c r="H24" s="1002">
        <v>3</v>
      </c>
      <c r="I24" s="1002">
        <v>3</v>
      </c>
      <c r="J24" s="1003">
        <v>1000</v>
      </c>
      <c r="K24" s="1014" t="s">
        <v>35</v>
      </c>
      <c r="M24" s="1001" t="s">
        <v>1108</v>
      </c>
      <c r="N24" s="1014">
        <v>2.5000000000000001E-3</v>
      </c>
    </row>
    <row r="25" spans="1:14">
      <c r="A25" s="998" t="s">
        <v>1121</v>
      </c>
      <c r="B25" s="1000" t="s">
        <v>1102</v>
      </c>
      <c r="C25" s="998" t="s">
        <v>1094</v>
      </c>
      <c r="D25" s="1015">
        <f>VLOOKUP(B25,M21:N25,2,FALSE)</f>
        <v>0.01</v>
      </c>
      <c r="F25" s="1001" t="s">
        <v>1107</v>
      </c>
      <c r="G25" s="1002">
        <v>4</v>
      </c>
      <c r="H25" s="1002">
        <v>4</v>
      </c>
      <c r="I25" s="1002">
        <v>4</v>
      </c>
      <c r="J25" s="1003">
        <v>10000</v>
      </c>
      <c r="K25" s="1014"/>
      <c r="M25" s="1001" t="s">
        <v>1110</v>
      </c>
      <c r="N25" s="1014">
        <v>1E-3</v>
      </c>
    </row>
    <row r="26" spans="1:14">
      <c r="A26" s="732" t="str">
        <f>C31</f>
        <v>Calculated Value</v>
      </c>
      <c r="B26" s="1016">
        <f>B31</f>
        <v>250</v>
      </c>
      <c r="C26" s="732" t="s">
        <v>144</v>
      </c>
      <c r="F26" s="1001" t="s">
        <v>1100</v>
      </c>
      <c r="G26" s="1002">
        <v>5</v>
      </c>
      <c r="H26" s="1002">
        <v>5</v>
      </c>
      <c r="I26" s="1002">
        <v>5</v>
      </c>
      <c r="J26" s="1003">
        <v>100000</v>
      </c>
      <c r="K26" s="1014">
        <v>5.0000000000000001E-3</v>
      </c>
    </row>
    <row r="27" spans="1:14">
      <c r="A27" s="732" t="str">
        <f>C31</f>
        <v>Calculated Value</v>
      </c>
      <c r="B27" s="1017" t="str">
        <f>CONCATENATE((B29*B30)," Ω")</f>
        <v>250 Ω</v>
      </c>
      <c r="C27" s="1034" t="s">
        <v>35</v>
      </c>
      <c r="F27" s="1001" t="s">
        <v>1108</v>
      </c>
      <c r="G27" s="1002">
        <v>6</v>
      </c>
      <c r="H27" s="1002">
        <v>6</v>
      </c>
      <c r="I27" s="1002">
        <v>6</v>
      </c>
      <c r="J27" s="1003">
        <v>100000</v>
      </c>
      <c r="K27" s="1014">
        <v>2.5000000000000001E-3</v>
      </c>
    </row>
    <row r="28" spans="1:14">
      <c r="A28" s="732"/>
      <c r="F28" s="1001" t="s">
        <v>1110</v>
      </c>
      <c r="G28" s="1002">
        <v>7</v>
      </c>
      <c r="H28" s="1002">
        <v>7</v>
      </c>
      <c r="I28" s="1002">
        <v>7</v>
      </c>
      <c r="J28" s="1003">
        <v>10000000</v>
      </c>
      <c r="K28" s="1014">
        <v>1E-3</v>
      </c>
    </row>
    <row r="29" spans="1:14">
      <c r="A29" s="1008" t="s">
        <v>35</v>
      </c>
      <c r="B29" s="1009" t="str">
        <f>CONCATENATE(D21,D22,D23)</f>
        <v>250</v>
      </c>
      <c r="C29" s="1010" t="s">
        <v>1109</v>
      </c>
      <c r="F29" s="1001" t="s">
        <v>1111</v>
      </c>
      <c r="G29" s="1002">
        <v>8</v>
      </c>
      <c r="H29" s="1002">
        <v>8</v>
      </c>
      <c r="I29" s="1002">
        <v>8</v>
      </c>
      <c r="J29" s="1003">
        <v>100000000</v>
      </c>
      <c r="K29" s="1014"/>
    </row>
    <row r="30" spans="1:14">
      <c r="A30" s="1008"/>
      <c r="B30" s="1011">
        <f>D24</f>
        <v>1</v>
      </c>
      <c r="C30" s="998" t="s">
        <v>210</v>
      </c>
      <c r="F30" s="1001" t="s">
        <v>1113</v>
      </c>
      <c r="G30" s="1002">
        <v>9</v>
      </c>
      <c r="H30" s="1002">
        <v>9</v>
      </c>
      <c r="I30" s="1002">
        <v>9</v>
      </c>
      <c r="J30" s="1003">
        <v>1000000000</v>
      </c>
      <c r="K30" s="1014"/>
    </row>
    <row r="31" spans="1:14">
      <c r="A31" s="1008"/>
      <c r="B31" s="1012">
        <f>B29*B30</f>
        <v>250</v>
      </c>
      <c r="C31" s="998" t="s">
        <v>1112</v>
      </c>
      <c r="D31" s="1031">
        <f>1</f>
        <v>1</v>
      </c>
      <c r="F31" s="1001" t="s">
        <v>1105</v>
      </c>
      <c r="G31" s="1002"/>
      <c r="H31" s="1002"/>
      <c r="I31" s="1002"/>
      <c r="J31" s="1003">
        <v>0.1</v>
      </c>
      <c r="K31" s="1014" t="s">
        <v>35</v>
      </c>
      <c r="M31" s="998" t="s">
        <v>35</v>
      </c>
    </row>
    <row r="32" spans="1:14">
      <c r="A32" s="1008"/>
      <c r="B32" s="1012">
        <f>B31*(1+D25)</f>
        <v>252.5</v>
      </c>
      <c r="C32" s="998" t="s">
        <v>1114</v>
      </c>
      <c r="D32" s="1032">
        <f>1+D25</f>
        <v>1.01</v>
      </c>
      <c r="F32" s="1001" t="s">
        <v>1116</v>
      </c>
      <c r="G32" s="1002"/>
      <c r="H32" s="1002"/>
      <c r="I32" s="1002"/>
      <c r="J32" s="1003">
        <v>0.01</v>
      </c>
      <c r="K32" s="1014" t="s">
        <v>35</v>
      </c>
    </row>
    <row r="33" spans="1:4">
      <c r="A33" s="1008"/>
      <c r="B33" s="1012">
        <f>B31*(1-D25)</f>
        <v>247.5</v>
      </c>
      <c r="C33" s="998" t="s">
        <v>1115</v>
      </c>
      <c r="D33" s="1032">
        <f>1-D25</f>
        <v>0.99</v>
      </c>
    </row>
    <row r="35" spans="1:4">
      <c r="A35" s="1018" t="s">
        <v>666</v>
      </c>
    </row>
    <row r="36" spans="1:4">
      <c r="A36" s="1019" t="s">
        <v>762</v>
      </c>
    </row>
    <row r="37" spans="1:4">
      <c r="A37" s="1020" t="s">
        <v>763</v>
      </c>
      <c r="C37" s="1033"/>
    </row>
    <row r="38" spans="1:4">
      <c r="A38" s="1018" t="s">
        <v>766</v>
      </c>
    </row>
    <row r="39" spans="1:4">
      <c r="A39" s="1018" t="s">
        <v>3</v>
      </c>
    </row>
  </sheetData>
  <sheetProtection algorithmName="SHA-512" hashValue="KACZAk4aILPM5mJT57LVmiW57sjraJs+EjMmvUdtPQ2TRTjXj6b7JOZSizOAMc7Q4xZe1Q+UdPWXgzsgYeTPng==" saltValue="ruKqiDZ0m82ByuZX5Tbxkw==" spinCount="100000" sheet="1" objects="1" scenarios="1"/>
  <mergeCells count="1">
    <mergeCell ref="M1:N1"/>
  </mergeCells>
  <dataValidations count="8">
    <dataValidation type="list" allowBlank="1" showInputMessage="1" showErrorMessage="1" sqref="B3" xr:uid="{00000000-0002-0000-1200-000000000000}">
      <formula1>$F$4:$F$12</formula1>
    </dataValidation>
    <dataValidation type="list" allowBlank="1" showInputMessage="1" showErrorMessage="1" sqref="B4" xr:uid="{00000000-0002-0000-1200-000001000000}">
      <formula1>$F$3:$F$12</formula1>
    </dataValidation>
    <dataValidation type="list" allowBlank="1" showInputMessage="1" showErrorMessage="1" sqref="B5" xr:uid="{00000000-0002-0000-1200-000002000000}">
      <formula1>$F$3:$F$14</formula1>
    </dataValidation>
    <dataValidation type="list" allowBlank="1" showInputMessage="1" showErrorMessage="1" sqref="B6" xr:uid="{00000000-0002-0000-1200-000003000000}">
      <formula1>$F$13:$F$15</formula1>
    </dataValidation>
    <dataValidation type="list" allowBlank="1" showInputMessage="1" showErrorMessage="1" sqref="B21" xr:uid="{00000000-0002-0000-1200-000004000000}">
      <formula1>$F$22:$F$30</formula1>
    </dataValidation>
    <dataValidation type="list" allowBlank="1" showInputMessage="1" showErrorMessage="1" sqref="B22:B23" xr:uid="{00000000-0002-0000-1200-000005000000}">
      <formula1>$F$21:$F$30</formula1>
    </dataValidation>
    <dataValidation type="list" allowBlank="1" showInputMessage="1" showErrorMessage="1" sqref="B24" xr:uid="{00000000-0002-0000-1200-000006000000}">
      <formula1>$F$21:$F$32</formula1>
    </dataValidation>
    <dataValidation type="list" allowBlank="1" showInputMessage="1" showErrorMessage="1" sqref="B25" xr:uid="{00000000-0002-0000-1200-000007000000}">
      <formula1>$M$21:$M$25</formula1>
    </dataValidation>
  </dataValidations>
  <pageMargins left="0.7" right="0.7" top="0.75" bottom="0.75" header="0.3" footer="0.3"/>
  <pageSetup scale="78"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R116"/>
  <sheetViews>
    <sheetView workbookViewId="0">
      <selection activeCell="E27" sqref="E27"/>
    </sheetView>
  </sheetViews>
  <sheetFormatPr defaultColWidth="17.28515625" defaultRowHeight="15.75" customHeight="1"/>
  <cols>
    <col min="1" max="12" width="9.85546875" style="17" customWidth="1"/>
    <col min="13" max="16384" width="17.28515625" style="17"/>
  </cols>
  <sheetData>
    <row r="1" spans="1:12" ht="15.75" customHeight="1">
      <c r="A1" s="279" t="s">
        <v>4</v>
      </c>
      <c r="B1" s="279" t="s">
        <v>5</v>
      </c>
      <c r="C1" s="137"/>
      <c r="D1" s="1208" t="s">
        <v>757</v>
      </c>
      <c r="E1" s="1208"/>
      <c r="F1" s="397"/>
      <c r="G1" s="1209" t="s">
        <v>7</v>
      </c>
      <c r="H1" s="1209"/>
      <c r="I1" s="137"/>
      <c r="J1" s="1210" t="s">
        <v>8</v>
      </c>
      <c r="K1" s="1210"/>
      <c r="L1" s="1210"/>
    </row>
    <row r="2" spans="1:12" ht="15" customHeight="1">
      <c r="A2" s="280">
        <v>18</v>
      </c>
      <c r="B2" s="280">
        <v>1620</v>
      </c>
      <c r="C2" s="137"/>
      <c r="D2" s="644" t="s">
        <v>756</v>
      </c>
      <c r="E2" s="364">
        <v>60</v>
      </c>
      <c r="F2" s="397"/>
      <c r="G2" s="280">
        <v>1</v>
      </c>
      <c r="H2" s="280">
        <v>175</v>
      </c>
      <c r="I2" s="137"/>
      <c r="J2" s="645" t="s">
        <v>9</v>
      </c>
      <c r="K2" s="646" t="s">
        <v>10</v>
      </c>
      <c r="L2" s="647" t="s">
        <v>11</v>
      </c>
    </row>
    <row r="3" spans="1:12" ht="15" customHeight="1">
      <c r="A3" s="280">
        <v>16</v>
      </c>
      <c r="B3" s="280">
        <v>2580</v>
      </c>
      <c r="C3" s="137"/>
      <c r="D3" s="297" t="s">
        <v>6</v>
      </c>
      <c r="E3" s="648" t="s">
        <v>758</v>
      </c>
      <c r="F3" s="397"/>
      <c r="G3" s="280">
        <v>3</v>
      </c>
      <c r="H3" s="280">
        <v>200</v>
      </c>
      <c r="I3" s="137"/>
      <c r="J3" s="234">
        <v>15</v>
      </c>
      <c r="K3" s="649">
        <v>14</v>
      </c>
      <c r="L3" s="650">
        <v>12</v>
      </c>
    </row>
    <row r="4" spans="1:12" ht="15" customHeight="1">
      <c r="A4" s="280">
        <v>14</v>
      </c>
      <c r="B4" s="280">
        <v>4110</v>
      </c>
      <c r="C4" s="54"/>
      <c r="D4" s="651">
        <v>2</v>
      </c>
      <c r="E4" s="652">
        <f t="shared" ref="E4:E11" si="0">(120*$E$2)/D4</f>
        <v>3600</v>
      </c>
      <c r="F4" s="54"/>
      <c r="G4" s="280">
        <v>6</v>
      </c>
      <c r="H4" s="280">
        <v>225</v>
      </c>
      <c r="I4" s="137"/>
      <c r="J4" s="234">
        <v>20</v>
      </c>
      <c r="K4" s="649">
        <v>12</v>
      </c>
      <c r="L4" s="650">
        <v>10</v>
      </c>
    </row>
    <row r="5" spans="1:12" ht="15" customHeight="1">
      <c r="A5" s="280">
        <v>12</v>
      </c>
      <c r="B5" s="280">
        <v>6530</v>
      </c>
      <c r="C5" s="54"/>
      <c r="D5" s="280">
        <v>4</v>
      </c>
      <c r="E5" s="653">
        <f t="shared" si="0"/>
        <v>1800</v>
      </c>
      <c r="F5" s="54"/>
      <c r="G5" s="280">
        <v>10</v>
      </c>
      <c r="H5" s="280">
        <v>250</v>
      </c>
      <c r="I5" s="137"/>
      <c r="J5" s="234">
        <v>30</v>
      </c>
      <c r="K5" s="649">
        <v>10</v>
      </c>
      <c r="L5" s="650">
        <v>8</v>
      </c>
    </row>
    <row r="6" spans="1:12" ht="15" customHeight="1">
      <c r="A6" s="280">
        <v>10</v>
      </c>
      <c r="B6" s="280">
        <v>10380</v>
      </c>
      <c r="C6" s="54"/>
      <c r="D6" s="280">
        <v>6</v>
      </c>
      <c r="E6" s="653">
        <f t="shared" si="0"/>
        <v>1200</v>
      </c>
      <c r="F6" s="54"/>
      <c r="G6" s="280">
        <v>15</v>
      </c>
      <c r="H6" s="280">
        <v>300</v>
      </c>
      <c r="I6" s="137"/>
      <c r="J6" s="234">
        <v>40</v>
      </c>
      <c r="K6" s="649">
        <v>10</v>
      </c>
      <c r="L6" s="647">
        <v>8</v>
      </c>
    </row>
    <row r="7" spans="1:12" ht="15" customHeight="1">
      <c r="A7" s="280">
        <v>8</v>
      </c>
      <c r="B7" s="280">
        <v>16510</v>
      </c>
      <c r="C7" s="137"/>
      <c r="D7" s="280">
        <v>8</v>
      </c>
      <c r="E7" s="653">
        <f t="shared" si="0"/>
        <v>900</v>
      </c>
      <c r="F7" s="397"/>
      <c r="G7" s="280">
        <v>20</v>
      </c>
      <c r="H7" s="280">
        <v>350</v>
      </c>
      <c r="I7" s="137"/>
      <c r="J7" s="234">
        <v>60</v>
      </c>
      <c r="K7" s="649">
        <v>10</v>
      </c>
      <c r="L7" s="647">
        <v>8</v>
      </c>
    </row>
    <row r="8" spans="1:12" ht="15.75" customHeight="1">
      <c r="A8" s="280">
        <v>6</v>
      </c>
      <c r="B8" s="280">
        <v>26240</v>
      </c>
      <c r="C8" s="137"/>
      <c r="D8" s="280">
        <v>10</v>
      </c>
      <c r="E8" s="653">
        <f t="shared" si="0"/>
        <v>720</v>
      </c>
      <c r="F8" s="397"/>
      <c r="G8" s="280">
        <v>25</v>
      </c>
      <c r="H8" s="280">
        <v>400</v>
      </c>
      <c r="I8" s="137"/>
      <c r="J8" s="234">
        <v>100</v>
      </c>
      <c r="K8" s="649">
        <v>8</v>
      </c>
      <c r="L8" s="647">
        <v>6</v>
      </c>
    </row>
    <row r="9" spans="1:12" ht="15" customHeight="1">
      <c r="A9" s="280">
        <v>4</v>
      </c>
      <c r="B9" s="280">
        <v>41740</v>
      </c>
      <c r="C9" s="137"/>
      <c r="D9" s="280">
        <v>12</v>
      </c>
      <c r="E9" s="653">
        <f t="shared" si="0"/>
        <v>600</v>
      </c>
      <c r="F9" s="397"/>
      <c r="G9" s="280">
        <v>30</v>
      </c>
      <c r="H9" s="280">
        <v>450</v>
      </c>
      <c r="I9" s="137"/>
      <c r="J9" s="234">
        <v>200</v>
      </c>
      <c r="K9" s="649">
        <v>6</v>
      </c>
      <c r="L9" s="647">
        <v>4</v>
      </c>
    </row>
    <row r="10" spans="1:12" ht="15" customHeight="1">
      <c r="A10" s="280">
        <v>3</v>
      </c>
      <c r="B10" s="280">
        <v>52620</v>
      </c>
      <c r="C10" s="137"/>
      <c r="D10" s="280">
        <v>14</v>
      </c>
      <c r="E10" s="653">
        <f t="shared" si="0"/>
        <v>514.28571428571433</v>
      </c>
      <c r="F10" s="397"/>
      <c r="G10" s="280">
        <v>35</v>
      </c>
      <c r="H10" s="280">
        <v>500</v>
      </c>
      <c r="I10" s="137"/>
      <c r="J10" s="234">
        <v>300</v>
      </c>
      <c r="K10" s="649">
        <v>4</v>
      </c>
      <c r="L10" s="647">
        <v>2</v>
      </c>
    </row>
    <row r="11" spans="1:12" ht="15" customHeight="1">
      <c r="A11" s="280">
        <v>2</v>
      </c>
      <c r="B11" s="280">
        <v>66360</v>
      </c>
      <c r="C11" s="137"/>
      <c r="D11" s="280">
        <v>16</v>
      </c>
      <c r="E11" s="653">
        <f t="shared" si="0"/>
        <v>450</v>
      </c>
      <c r="F11" s="397"/>
      <c r="G11" s="280">
        <v>40</v>
      </c>
      <c r="H11" s="280">
        <v>600</v>
      </c>
      <c r="I11" s="137"/>
      <c r="J11" s="234">
        <v>400</v>
      </c>
      <c r="K11" s="649">
        <v>3</v>
      </c>
      <c r="L11" s="647">
        <v>1</v>
      </c>
    </row>
    <row r="12" spans="1:12" ht="15" customHeight="1">
      <c r="A12" s="280">
        <v>1</v>
      </c>
      <c r="B12" s="280">
        <v>83690</v>
      </c>
      <c r="C12" s="137"/>
      <c r="D12" s="654"/>
      <c r="E12" s="655"/>
      <c r="F12" s="397"/>
      <c r="G12" s="280">
        <v>45</v>
      </c>
      <c r="H12" s="280">
        <v>700</v>
      </c>
      <c r="I12" s="137"/>
      <c r="J12" s="234">
        <v>500</v>
      </c>
      <c r="K12" s="649">
        <v>2</v>
      </c>
      <c r="L12" s="647" t="s">
        <v>18</v>
      </c>
    </row>
    <row r="13" spans="1:12" ht="15" customHeight="1">
      <c r="A13" s="656" t="s">
        <v>18</v>
      </c>
      <c r="B13" s="280">
        <v>105600</v>
      </c>
      <c r="C13" s="137"/>
      <c r="D13" s="654"/>
      <c r="E13" s="655"/>
      <c r="F13" s="397"/>
      <c r="G13" s="280">
        <v>50</v>
      </c>
      <c r="H13" s="280">
        <v>800</v>
      </c>
      <c r="I13" s="137"/>
      <c r="J13" s="234">
        <v>600</v>
      </c>
      <c r="K13" s="649">
        <v>1</v>
      </c>
      <c r="L13" s="647" t="s">
        <v>20</v>
      </c>
    </row>
    <row r="14" spans="1:12" ht="15" customHeight="1">
      <c r="A14" s="656" t="s">
        <v>20</v>
      </c>
      <c r="B14" s="280">
        <v>133100</v>
      </c>
      <c r="C14" s="137"/>
      <c r="D14" s="657" t="s">
        <v>12</v>
      </c>
      <c r="E14" s="642" t="s">
        <v>13</v>
      </c>
      <c r="F14" s="397"/>
      <c r="G14" s="280">
        <v>60</v>
      </c>
      <c r="H14" s="280">
        <v>1000</v>
      </c>
      <c r="I14" s="137"/>
      <c r="J14" s="234">
        <v>800</v>
      </c>
      <c r="K14" s="646" t="s">
        <v>18</v>
      </c>
      <c r="L14" s="647" t="s">
        <v>22</v>
      </c>
    </row>
    <row r="15" spans="1:12" ht="15" customHeight="1">
      <c r="A15" s="280" t="s">
        <v>22</v>
      </c>
      <c r="B15" s="280">
        <v>167800</v>
      </c>
      <c r="C15" s="137"/>
      <c r="D15" s="645" t="s">
        <v>14</v>
      </c>
      <c r="E15" s="234">
        <v>80</v>
      </c>
      <c r="F15" s="397"/>
      <c r="G15" s="280">
        <v>70</v>
      </c>
      <c r="H15" s="280">
        <v>1200</v>
      </c>
      <c r="I15" s="137"/>
      <c r="J15" s="234">
        <v>1000</v>
      </c>
      <c r="K15" s="646" t="s">
        <v>20</v>
      </c>
      <c r="L15" s="647" t="s">
        <v>23</v>
      </c>
    </row>
    <row r="16" spans="1:12" ht="15" customHeight="1">
      <c r="A16" s="280" t="s">
        <v>23</v>
      </c>
      <c r="B16" s="280">
        <v>211600</v>
      </c>
      <c r="C16" s="137"/>
      <c r="D16" s="645" t="s">
        <v>15</v>
      </c>
      <c r="E16" s="234">
        <v>70</v>
      </c>
      <c r="F16" s="397"/>
      <c r="G16" s="280">
        <v>80</v>
      </c>
      <c r="H16" s="280">
        <v>1600</v>
      </c>
      <c r="I16" s="137"/>
      <c r="J16" s="234">
        <v>1200</v>
      </c>
      <c r="K16" s="646" t="s">
        <v>22</v>
      </c>
      <c r="L16" s="647">
        <v>250</v>
      </c>
    </row>
    <row r="17" spans="1:18" ht="15" customHeight="1">
      <c r="A17" s="280">
        <v>250</v>
      </c>
      <c r="B17" s="280">
        <v>250000</v>
      </c>
      <c r="C17" s="137"/>
      <c r="D17" s="645" t="s">
        <v>16</v>
      </c>
      <c r="E17" s="234">
        <v>50</v>
      </c>
      <c r="F17" s="397"/>
      <c r="G17" s="280">
        <v>90</v>
      </c>
      <c r="H17" s="280">
        <v>2000</v>
      </c>
      <c r="I17" s="137"/>
      <c r="J17" s="234">
        <v>1600</v>
      </c>
      <c r="K17" s="646" t="s">
        <v>23</v>
      </c>
      <c r="L17" s="647">
        <v>350</v>
      </c>
    </row>
    <row r="18" spans="1:18" ht="15" customHeight="1">
      <c r="A18" s="29"/>
      <c r="B18" s="29"/>
      <c r="C18" s="25"/>
      <c r="D18" s="645" t="s">
        <v>17</v>
      </c>
      <c r="E18" s="234">
        <v>45</v>
      </c>
      <c r="F18" s="397"/>
      <c r="G18" s="280">
        <v>100</v>
      </c>
      <c r="H18" s="280">
        <v>2500</v>
      </c>
      <c r="I18" s="137"/>
      <c r="J18" s="234">
        <v>2000</v>
      </c>
      <c r="K18" s="649">
        <v>250</v>
      </c>
      <c r="L18" s="647">
        <v>400</v>
      </c>
    </row>
    <row r="19" spans="1:18" ht="15" customHeight="1">
      <c r="A19" s="25"/>
      <c r="B19" s="25"/>
      <c r="C19" s="25"/>
      <c r="D19" s="645" t="s">
        <v>19</v>
      </c>
      <c r="E19" s="234">
        <v>40</v>
      </c>
      <c r="F19" s="397"/>
      <c r="G19" s="280">
        <v>110</v>
      </c>
      <c r="H19" s="280">
        <v>3000</v>
      </c>
      <c r="I19" s="137"/>
      <c r="J19" s="234">
        <v>2500</v>
      </c>
      <c r="K19" s="649">
        <v>350</v>
      </c>
      <c r="L19" s="647">
        <v>600</v>
      </c>
    </row>
    <row r="20" spans="1:18" ht="15" customHeight="1">
      <c r="A20" s="25"/>
      <c r="B20" s="25"/>
      <c r="C20" s="25"/>
      <c r="D20" s="645" t="s">
        <v>21</v>
      </c>
      <c r="E20" s="234">
        <v>35</v>
      </c>
      <c r="F20" s="397"/>
      <c r="G20" s="280">
        <v>125</v>
      </c>
      <c r="H20" s="280">
        <v>4000</v>
      </c>
      <c r="I20" s="137"/>
      <c r="J20" s="234">
        <v>3000</v>
      </c>
      <c r="K20" s="649">
        <v>400</v>
      </c>
      <c r="L20" s="647">
        <v>600</v>
      </c>
    </row>
    <row r="21" spans="1:18" ht="15" customHeight="1">
      <c r="A21" s="25"/>
      <c r="B21" s="25"/>
      <c r="C21" s="25"/>
      <c r="F21" s="397"/>
      <c r="G21" s="280">
        <v>150</v>
      </c>
      <c r="H21" s="280">
        <v>5000</v>
      </c>
      <c r="I21" s="137"/>
      <c r="J21" s="25"/>
      <c r="K21" s="25"/>
      <c r="L21" s="25"/>
    </row>
    <row r="22" spans="1:18" ht="15" customHeight="1">
      <c r="A22" s="25"/>
      <c r="B22" s="25"/>
      <c r="C22" s="25"/>
      <c r="D22" s="25"/>
      <c r="E22" s="25"/>
      <c r="F22" s="25"/>
      <c r="G22" s="655"/>
      <c r="H22" s="655"/>
      <c r="I22" s="25"/>
      <c r="J22" s="25"/>
      <c r="K22" s="25"/>
      <c r="L22" s="25"/>
    </row>
    <row r="23" spans="1:18" ht="15" customHeight="1">
      <c r="A23" s="1211" t="s">
        <v>642</v>
      </c>
      <c r="B23" s="1211"/>
      <c r="C23" s="1211"/>
      <c r="D23" s="1211"/>
      <c r="E23" s="1211"/>
      <c r="F23" s="1211"/>
      <c r="G23" s="1211"/>
      <c r="H23" s="1211"/>
      <c r="I23" s="25"/>
      <c r="K23" s="642" t="s">
        <v>4</v>
      </c>
      <c r="L23" s="642" t="s">
        <v>5</v>
      </c>
      <c r="R23" s="25"/>
    </row>
    <row r="24" spans="1:18" ht="15" customHeight="1">
      <c r="A24" s="658"/>
      <c r="B24" s="1212" t="s">
        <v>10</v>
      </c>
      <c r="C24" s="1212"/>
      <c r="D24" s="1212"/>
      <c r="E24" s="1213" t="s">
        <v>11</v>
      </c>
      <c r="F24" s="1213"/>
      <c r="G24" s="1213"/>
      <c r="H24" s="659"/>
      <c r="I24" s="25"/>
      <c r="K24" s="234" t="s">
        <v>673</v>
      </c>
      <c r="L24" s="234">
        <v>1620</v>
      </c>
      <c r="O24" s="25"/>
      <c r="P24" s="655"/>
      <c r="Q24" s="655"/>
      <c r="R24" s="25"/>
    </row>
    <row r="25" spans="1:18" ht="15" customHeight="1">
      <c r="A25" s="658" t="s">
        <v>4</v>
      </c>
      <c r="B25" s="660" t="s">
        <v>636</v>
      </c>
      <c r="C25" s="660" t="s">
        <v>637</v>
      </c>
      <c r="D25" s="660" t="s">
        <v>643</v>
      </c>
      <c r="E25" s="661" t="s">
        <v>636</v>
      </c>
      <c r="F25" s="661" t="s">
        <v>637</v>
      </c>
      <c r="G25" s="661" t="s">
        <v>643</v>
      </c>
      <c r="H25" s="658" t="s">
        <v>4</v>
      </c>
      <c r="I25" s="25"/>
      <c r="K25" s="234" t="s">
        <v>674</v>
      </c>
      <c r="L25" s="234">
        <v>2580</v>
      </c>
      <c r="O25" s="25"/>
      <c r="P25" s="655"/>
      <c r="Q25" s="655"/>
      <c r="R25" s="25"/>
    </row>
    <row r="26" spans="1:18" ht="15" customHeight="1">
      <c r="A26" s="269">
        <v>14</v>
      </c>
      <c r="B26" s="662">
        <v>15</v>
      </c>
      <c r="C26" s="662">
        <v>20</v>
      </c>
      <c r="D26" s="662">
        <v>25</v>
      </c>
      <c r="E26" s="663" t="s">
        <v>475</v>
      </c>
      <c r="F26" s="663" t="s">
        <v>475</v>
      </c>
      <c r="G26" s="663" t="s">
        <v>475</v>
      </c>
      <c r="H26" s="269">
        <v>14</v>
      </c>
      <c r="I26" s="25"/>
      <c r="K26" s="234" t="s">
        <v>675</v>
      </c>
      <c r="L26" s="234">
        <v>4110</v>
      </c>
      <c r="O26" s="25"/>
      <c r="P26" s="655"/>
      <c r="Q26" s="655"/>
      <c r="R26" s="25"/>
    </row>
    <row r="27" spans="1:18" ht="15" customHeight="1">
      <c r="A27" s="269">
        <v>12</v>
      </c>
      <c r="B27" s="662">
        <v>20</v>
      </c>
      <c r="C27" s="662">
        <v>25</v>
      </c>
      <c r="D27" s="662">
        <v>30</v>
      </c>
      <c r="E27" s="664">
        <v>15</v>
      </c>
      <c r="F27" s="664">
        <v>20</v>
      </c>
      <c r="G27" s="664">
        <v>25</v>
      </c>
      <c r="H27" s="269">
        <v>12</v>
      </c>
      <c r="I27" s="25"/>
      <c r="K27" s="234" t="s">
        <v>676</v>
      </c>
      <c r="L27" s="234">
        <v>6530</v>
      </c>
      <c r="O27" s="25"/>
      <c r="P27" s="655"/>
      <c r="Q27" s="655"/>
      <c r="R27" s="25"/>
    </row>
    <row r="28" spans="1:18" ht="15" customHeight="1">
      <c r="A28" s="269">
        <v>10</v>
      </c>
      <c r="B28" s="662">
        <v>30</v>
      </c>
      <c r="C28" s="662">
        <v>35</v>
      </c>
      <c r="D28" s="662">
        <v>40</v>
      </c>
      <c r="E28" s="664">
        <v>25</v>
      </c>
      <c r="F28" s="664">
        <v>30</v>
      </c>
      <c r="G28" s="664">
        <v>35</v>
      </c>
      <c r="H28" s="269">
        <v>10</v>
      </c>
      <c r="I28" s="25"/>
      <c r="K28" s="234" t="s">
        <v>677</v>
      </c>
      <c r="L28" s="234">
        <v>10380</v>
      </c>
      <c r="O28" s="25"/>
      <c r="P28" s="655"/>
      <c r="Q28" s="655"/>
      <c r="R28" s="25"/>
    </row>
    <row r="29" spans="1:18" ht="15" customHeight="1">
      <c r="A29" s="269">
        <v>8</v>
      </c>
      <c r="B29" s="662">
        <v>40</v>
      </c>
      <c r="C29" s="662">
        <v>50</v>
      </c>
      <c r="D29" s="662">
        <v>55</v>
      </c>
      <c r="E29" s="664">
        <v>35</v>
      </c>
      <c r="F29" s="664">
        <v>40</v>
      </c>
      <c r="G29" s="664">
        <v>45</v>
      </c>
      <c r="H29" s="269">
        <v>8</v>
      </c>
      <c r="I29" s="25"/>
      <c r="K29" s="234" t="s">
        <v>678</v>
      </c>
      <c r="L29" s="234">
        <v>16510</v>
      </c>
      <c r="O29" s="25"/>
      <c r="P29" s="655"/>
      <c r="Q29" s="655"/>
      <c r="R29" s="25"/>
    </row>
    <row r="30" spans="1:18" ht="15" customHeight="1">
      <c r="A30" s="269">
        <v>6</v>
      </c>
      <c r="B30" s="662">
        <v>55</v>
      </c>
      <c r="C30" s="662">
        <v>65</v>
      </c>
      <c r="D30" s="662">
        <v>75</v>
      </c>
      <c r="E30" s="664">
        <v>40</v>
      </c>
      <c r="F30" s="664">
        <v>50</v>
      </c>
      <c r="G30" s="664">
        <v>55</v>
      </c>
      <c r="H30" s="269">
        <v>6</v>
      </c>
      <c r="I30" s="25"/>
      <c r="K30" s="234" t="s">
        <v>679</v>
      </c>
      <c r="L30" s="234">
        <v>26240</v>
      </c>
      <c r="O30" s="25"/>
      <c r="P30" s="655"/>
      <c r="Q30" s="655"/>
      <c r="R30" s="25"/>
    </row>
    <row r="31" spans="1:18" ht="15" customHeight="1">
      <c r="A31" s="269">
        <v>4</v>
      </c>
      <c r="B31" s="662">
        <v>70</v>
      </c>
      <c r="C31" s="662">
        <v>85</v>
      </c>
      <c r="D31" s="662">
        <v>95</v>
      </c>
      <c r="E31" s="664">
        <v>55</v>
      </c>
      <c r="F31" s="664">
        <v>65</v>
      </c>
      <c r="G31" s="664">
        <v>75</v>
      </c>
      <c r="H31" s="269">
        <v>4</v>
      </c>
      <c r="I31" s="25"/>
      <c r="K31" s="234" t="s">
        <v>680</v>
      </c>
      <c r="L31" s="234">
        <v>41740</v>
      </c>
      <c r="O31" s="25"/>
      <c r="P31" s="655"/>
      <c r="Q31" s="655"/>
      <c r="R31" s="25"/>
    </row>
    <row r="32" spans="1:18" ht="15" customHeight="1">
      <c r="A32" s="269">
        <v>3</v>
      </c>
      <c r="B32" s="662">
        <v>85</v>
      </c>
      <c r="C32" s="662">
        <v>100</v>
      </c>
      <c r="D32" s="662">
        <v>115</v>
      </c>
      <c r="E32" s="664">
        <v>65</v>
      </c>
      <c r="F32" s="664">
        <v>75</v>
      </c>
      <c r="G32" s="664">
        <v>85</v>
      </c>
      <c r="H32" s="269">
        <v>3</v>
      </c>
      <c r="I32" s="25"/>
      <c r="K32" s="234" t="s">
        <v>681</v>
      </c>
      <c r="L32" s="234">
        <v>52620</v>
      </c>
      <c r="O32" s="25"/>
      <c r="P32" s="655"/>
      <c r="Q32" s="655"/>
      <c r="R32" s="25"/>
    </row>
    <row r="33" spans="1:18" ht="15" customHeight="1">
      <c r="A33" s="269">
        <v>2</v>
      </c>
      <c r="B33" s="662">
        <v>95</v>
      </c>
      <c r="C33" s="662">
        <v>115</v>
      </c>
      <c r="D33" s="662">
        <v>130</v>
      </c>
      <c r="E33" s="664">
        <v>75</v>
      </c>
      <c r="F33" s="664">
        <v>90</v>
      </c>
      <c r="G33" s="664">
        <v>100</v>
      </c>
      <c r="H33" s="269">
        <v>2</v>
      </c>
      <c r="I33" s="25"/>
      <c r="K33" s="234" t="s">
        <v>682</v>
      </c>
      <c r="L33" s="234">
        <v>66360</v>
      </c>
      <c r="O33" s="25"/>
      <c r="P33" s="655"/>
      <c r="Q33" s="655"/>
      <c r="R33" s="25"/>
    </row>
    <row r="34" spans="1:18" ht="15" customHeight="1">
      <c r="A34" s="269">
        <v>1</v>
      </c>
      <c r="B34" s="662">
        <v>110</v>
      </c>
      <c r="C34" s="662">
        <v>130</v>
      </c>
      <c r="D34" s="662">
        <v>145</v>
      </c>
      <c r="E34" s="664">
        <v>85</v>
      </c>
      <c r="F34" s="664">
        <v>100</v>
      </c>
      <c r="G34" s="664">
        <v>115</v>
      </c>
      <c r="H34" s="269">
        <v>1</v>
      </c>
      <c r="I34" s="25"/>
      <c r="K34" s="234" t="s">
        <v>683</v>
      </c>
      <c r="L34" s="234">
        <v>83690</v>
      </c>
      <c r="O34" s="25"/>
      <c r="P34" s="655"/>
      <c r="Q34" s="655"/>
      <c r="R34" s="25"/>
    </row>
    <row r="35" spans="1:18" ht="15" customHeight="1">
      <c r="A35" s="269" t="s">
        <v>18</v>
      </c>
      <c r="B35" s="662">
        <v>125</v>
      </c>
      <c r="C35" s="662">
        <v>150</v>
      </c>
      <c r="D35" s="662">
        <v>170</v>
      </c>
      <c r="E35" s="664">
        <v>100</v>
      </c>
      <c r="F35" s="664">
        <v>120</v>
      </c>
      <c r="G35" s="664">
        <v>135</v>
      </c>
      <c r="H35" s="269" t="s">
        <v>18</v>
      </c>
      <c r="I35" s="25"/>
      <c r="K35" s="268" t="s">
        <v>702</v>
      </c>
      <c r="L35" s="234">
        <v>105600</v>
      </c>
      <c r="O35" s="25"/>
      <c r="P35" s="655"/>
      <c r="Q35" s="655"/>
      <c r="R35" s="25"/>
    </row>
    <row r="36" spans="1:18" ht="15" customHeight="1">
      <c r="A36" s="269" t="s">
        <v>20</v>
      </c>
      <c r="B36" s="662">
        <v>145</v>
      </c>
      <c r="C36" s="662">
        <v>175</v>
      </c>
      <c r="D36" s="662">
        <v>195</v>
      </c>
      <c r="E36" s="664">
        <v>115</v>
      </c>
      <c r="F36" s="664">
        <v>135</v>
      </c>
      <c r="G36" s="664">
        <v>150</v>
      </c>
      <c r="H36" s="269" t="s">
        <v>20</v>
      </c>
      <c r="I36" s="25"/>
      <c r="K36" s="268" t="s">
        <v>703</v>
      </c>
      <c r="L36" s="234">
        <v>133100</v>
      </c>
      <c r="O36" s="25"/>
      <c r="P36" s="655"/>
      <c r="Q36" s="655"/>
      <c r="R36" s="25"/>
    </row>
    <row r="37" spans="1:18" ht="15" customHeight="1">
      <c r="A37" s="269" t="s">
        <v>22</v>
      </c>
      <c r="B37" s="662">
        <v>165</v>
      </c>
      <c r="C37" s="662">
        <v>200</v>
      </c>
      <c r="D37" s="662">
        <v>225</v>
      </c>
      <c r="E37" s="664">
        <v>130</v>
      </c>
      <c r="F37" s="664">
        <v>155</v>
      </c>
      <c r="G37" s="664">
        <v>175</v>
      </c>
      <c r="H37" s="269" t="s">
        <v>22</v>
      </c>
      <c r="I37" s="25"/>
      <c r="K37" s="234" t="s">
        <v>704</v>
      </c>
      <c r="L37" s="234">
        <v>167800</v>
      </c>
      <c r="O37" s="25"/>
      <c r="P37" s="655"/>
      <c r="Q37" s="655"/>
      <c r="R37" s="25"/>
    </row>
    <row r="38" spans="1:18" ht="15" customHeight="1">
      <c r="A38" s="269" t="s">
        <v>23</v>
      </c>
      <c r="B38" s="662">
        <v>195</v>
      </c>
      <c r="C38" s="662">
        <v>230</v>
      </c>
      <c r="D38" s="662">
        <v>260</v>
      </c>
      <c r="E38" s="664">
        <v>150</v>
      </c>
      <c r="F38" s="664">
        <v>180</v>
      </c>
      <c r="G38" s="664">
        <v>205</v>
      </c>
      <c r="H38" s="269" t="s">
        <v>23</v>
      </c>
      <c r="I38" s="25"/>
      <c r="K38" s="234" t="s">
        <v>705</v>
      </c>
      <c r="L38" s="234">
        <v>211600</v>
      </c>
      <c r="O38" s="25"/>
      <c r="P38" s="655"/>
      <c r="Q38" s="655"/>
      <c r="R38" s="25"/>
    </row>
    <row r="39" spans="1:18" ht="15" customHeight="1">
      <c r="A39" s="269">
        <v>250</v>
      </c>
      <c r="B39" s="662">
        <v>215</v>
      </c>
      <c r="C39" s="662">
        <v>255</v>
      </c>
      <c r="D39" s="662">
        <v>290</v>
      </c>
      <c r="E39" s="664">
        <v>170</v>
      </c>
      <c r="F39" s="664">
        <v>205</v>
      </c>
      <c r="G39" s="664">
        <v>230</v>
      </c>
      <c r="H39" s="269">
        <v>250</v>
      </c>
      <c r="I39" s="25"/>
      <c r="K39" s="269" t="s">
        <v>684</v>
      </c>
      <c r="L39" s="234">
        <v>250000</v>
      </c>
      <c r="O39" s="25"/>
      <c r="P39" s="655"/>
      <c r="Q39" s="655"/>
      <c r="R39" s="25"/>
    </row>
    <row r="40" spans="1:18" ht="15" customHeight="1">
      <c r="A40" s="269">
        <v>300</v>
      </c>
      <c r="B40" s="662">
        <v>240</v>
      </c>
      <c r="C40" s="662">
        <v>285</v>
      </c>
      <c r="D40" s="662">
        <v>320</v>
      </c>
      <c r="E40" s="664">
        <v>195</v>
      </c>
      <c r="F40" s="664">
        <v>230</v>
      </c>
      <c r="G40" s="664">
        <v>260</v>
      </c>
      <c r="H40" s="269">
        <v>300</v>
      </c>
      <c r="I40" s="25"/>
      <c r="K40" s="269" t="s">
        <v>685</v>
      </c>
      <c r="L40" s="234">
        <v>300000</v>
      </c>
      <c r="O40" s="25"/>
      <c r="P40" s="655"/>
      <c r="Q40" s="655"/>
      <c r="R40" s="25"/>
    </row>
    <row r="41" spans="1:18" ht="15" customHeight="1">
      <c r="A41" s="269">
        <v>350</v>
      </c>
      <c r="B41" s="662">
        <v>260</v>
      </c>
      <c r="C41" s="662">
        <v>310</v>
      </c>
      <c r="D41" s="662">
        <v>350</v>
      </c>
      <c r="E41" s="664">
        <v>210</v>
      </c>
      <c r="F41" s="664">
        <v>250</v>
      </c>
      <c r="G41" s="664">
        <v>280</v>
      </c>
      <c r="H41" s="269">
        <v>350</v>
      </c>
      <c r="I41" s="25"/>
      <c r="K41" s="269" t="s">
        <v>686</v>
      </c>
      <c r="L41" s="234">
        <v>350000</v>
      </c>
      <c r="O41" s="25"/>
      <c r="P41" s="655"/>
      <c r="Q41" s="655"/>
      <c r="R41" s="25"/>
    </row>
    <row r="42" spans="1:18" ht="15" customHeight="1">
      <c r="A42" s="269">
        <v>400</v>
      </c>
      <c r="B42" s="662">
        <v>280</v>
      </c>
      <c r="C42" s="662">
        <v>335</v>
      </c>
      <c r="D42" s="662">
        <v>380</v>
      </c>
      <c r="E42" s="664">
        <v>225</v>
      </c>
      <c r="F42" s="664">
        <v>270</v>
      </c>
      <c r="G42" s="664">
        <v>305</v>
      </c>
      <c r="H42" s="269">
        <v>400</v>
      </c>
      <c r="I42" s="25"/>
      <c r="K42" s="269" t="s">
        <v>687</v>
      </c>
      <c r="L42" s="234">
        <v>400000</v>
      </c>
      <c r="O42" s="25"/>
      <c r="P42" s="655"/>
      <c r="Q42" s="655"/>
      <c r="R42" s="25"/>
    </row>
    <row r="43" spans="1:18" ht="15" customHeight="1">
      <c r="A43" s="269">
        <v>500</v>
      </c>
      <c r="B43" s="662">
        <v>320</v>
      </c>
      <c r="C43" s="662">
        <v>380</v>
      </c>
      <c r="D43" s="662">
        <v>430</v>
      </c>
      <c r="E43" s="664">
        <v>260</v>
      </c>
      <c r="F43" s="664">
        <v>310</v>
      </c>
      <c r="G43" s="664">
        <v>350</v>
      </c>
      <c r="H43" s="269">
        <v>500</v>
      </c>
      <c r="I43" s="25"/>
      <c r="K43" s="269" t="s">
        <v>688</v>
      </c>
      <c r="L43" s="234">
        <v>500000</v>
      </c>
      <c r="O43" s="25"/>
      <c r="P43" s="655"/>
      <c r="Q43" s="655"/>
      <c r="R43" s="25"/>
    </row>
    <row r="44" spans="1:18" ht="15" customHeight="1">
      <c r="A44" s="269">
        <v>600</v>
      </c>
      <c r="B44" s="662">
        <v>350</v>
      </c>
      <c r="C44" s="662">
        <v>420</v>
      </c>
      <c r="D44" s="662">
        <v>475</v>
      </c>
      <c r="E44" s="664">
        <v>285</v>
      </c>
      <c r="F44" s="664">
        <v>340</v>
      </c>
      <c r="G44" s="664">
        <v>385</v>
      </c>
      <c r="H44" s="269">
        <v>600</v>
      </c>
      <c r="I44" s="25"/>
      <c r="K44" s="269" t="s">
        <v>689</v>
      </c>
      <c r="L44" s="234">
        <v>600000</v>
      </c>
      <c r="O44" s="25"/>
      <c r="P44" s="655"/>
      <c r="Q44" s="655"/>
      <c r="R44" s="25"/>
    </row>
    <row r="45" spans="1:18" ht="15" customHeight="1">
      <c r="A45" s="269">
        <v>700</v>
      </c>
      <c r="B45" s="662">
        <v>385</v>
      </c>
      <c r="C45" s="662">
        <v>460</v>
      </c>
      <c r="D45" s="662">
        <v>520</v>
      </c>
      <c r="E45" s="664">
        <v>315</v>
      </c>
      <c r="F45" s="664">
        <v>375</v>
      </c>
      <c r="G45" s="664">
        <v>425</v>
      </c>
      <c r="H45" s="269">
        <v>700</v>
      </c>
      <c r="I45" s="25"/>
      <c r="K45" s="269" t="s">
        <v>690</v>
      </c>
      <c r="L45" s="234">
        <v>700000</v>
      </c>
      <c r="O45" s="25"/>
      <c r="P45" s="655"/>
      <c r="Q45" s="655"/>
      <c r="R45" s="25"/>
    </row>
    <row r="46" spans="1:18" ht="15" customHeight="1">
      <c r="A46" s="269">
        <v>750</v>
      </c>
      <c r="B46" s="662">
        <v>400</v>
      </c>
      <c r="C46" s="662">
        <v>475</v>
      </c>
      <c r="D46" s="662">
        <v>535</v>
      </c>
      <c r="E46" s="664">
        <v>320</v>
      </c>
      <c r="F46" s="664">
        <v>385</v>
      </c>
      <c r="G46" s="664">
        <v>435</v>
      </c>
      <c r="H46" s="269">
        <v>750</v>
      </c>
      <c r="I46" s="25"/>
      <c r="K46" s="269" t="s">
        <v>691</v>
      </c>
      <c r="L46" s="234">
        <v>750000</v>
      </c>
      <c r="O46" s="25"/>
      <c r="P46" s="655"/>
      <c r="Q46" s="655"/>
      <c r="R46" s="25"/>
    </row>
    <row r="47" spans="1:18" ht="15" customHeight="1">
      <c r="A47" s="269">
        <v>800</v>
      </c>
      <c r="B47" s="662">
        <v>410</v>
      </c>
      <c r="C47" s="662">
        <v>490</v>
      </c>
      <c r="D47" s="662">
        <v>555</v>
      </c>
      <c r="E47" s="664">
        <v>330</v>
      </c>
      <c r="F47" s="664">
        <v>395</v>
      </c>
      <c r="G47" s="664">
        <v>445</v>
      </c>
      <c r="H47" s="269">
        <v>800</v>
      </c>
      <c r="I47" s="25"/>
      <c r="K47" s="269" t="s">
        <v>692</v>
      </c>
      <c r="L47" s="234">
        <v>800000</v>
      </c>
      <c r="O47" s="25"/>
      <c r="P47" s="655"/>
      <c r="Q47" s="655"/>
      <c r="R47" s="25"/>
    </row>
    <row r="48" spans="1:18" ht="15" customHeight="1">
      <c r="A48" s="269">
        <v>900</v>
      </c>
      <c r="B48" s="662">
        <v>435</v>
      </c>
      <c r="C48" s="662">
        <v>520</v>
      </c>
      <c r="D48" s="662">
        <v>585</v>
      </c>
      <c r="E48" s="664">
        <v>355</v>
      </c>
      <c r="F48" s="664">
        <v>425</v>
      </c>
      <c r="G48" s="664">
        <v>480</v>
      </c>
      <c r="H48" s="269">
        <v>900</v>
      </c>
      <c r="I48" s="25"/>
      <c r="K48" s="269" t="s">
        <v>693</v>
      </c>
      <c r="L48" s="234">
        <v>900000</v>
      </c>
      <c r="O48" s="25"/>
      <c r="P48" s="655"/>
      <c r="Q48" s="655"/>
      <c r="R48" s="25"/>
    </row>
    <row r="49" spans="1:18" ht="15" customHeight="1">
      <c r="A49" s="269">
        <v>1000</v>
      </c>
      <c r="B49" s="662">
        <v>455</v>
      </c>
      <c r="C49" s="662">
        <v>545</v>
      </c>
      <c r="D49" s="662">
        <v>615</v>
      </c>
      <c r="E49" s="664">
        <v>375</v>
      </c>
      <c r="F49" s="664">
        <v>445</v>
      </c>
      <c r="G49" s="664">
        <v>500</v>
      </c>
      <c r="H49" s="269">
        <v>1000</v>
      </c>
      <c r="I49" s="25"/>
      <c r="K49" s="269" t="s">
        <v>694</v>
      </c>
      <c r="L49" s="234">
        <v>1000000</v>
      </c>
      <c r="O49" s="25"/>
      <c r="P49" s="655"/>
      <c r="Q49" s="655"/>
      <c r="R49" s="25"/>
    </row>
    <row r="50" spans="1:18" ht="15" customHeight="1">
      <c r="A50" s="269">
        <v>1250</v>
      </c>
      <c r="B50" s="662">
        <v>495</v>
      </c>
      <c r="C50" s="662">
        <v>590</v>
      </c>
      <c r="D50" s="662">
        <v>665</v>
      </c>
      <c r="E50" s="664">
        <v>405</v>
      </c>
      <c r="F50" s="664">
        <v>485</v>
      </c>
      <c r="G50" s="664">
        <v>545</v>
      </c>
      <c r="H50" s="269">
        <v>1250</v>
      </c>
      <c r="I50" s="25"/>
      <c r="K50" s="269" t="s">
        <v>695</v>
      </c>
      <c r="L50" s="234">
        <v>1250000</v>
      </c>
      <c r="O50" s="25"/>
      <c r="P50" s="655"/>
      <c r="Q50" s="655"/>
      <c r="R50" s="25"/>
    </row>
    <row r="51" spans="1:18" ht="15" customHeight="1">
      <c r="A51" s="269">
        <v>1500</v>
      </c>
      <c r="B51" s="662">
        <v>525</v>
      </c>
      <c r="C51" s="662">
        <v>625</v>
      </c>
      <c r="D51" s="662">
        <v>705</v>
      </c>
      <c r="E51" s="664">
        <v>435</v>
      </c>
      <c r="F51" s="664">
        <v>520</v>
      </c>
      <c r="G51" s="664">
        <v>585</v>
      </c>
      <c r="H51" s="269">
        <v>1500</v>
      </c>
      <c r="I51" s="25"/>
      <c r="K51" s="269" t="s">
        <v>696</v>
      </c>
      <c r="L51" s="234">
        <v>1500000</v>
      </c>
      <c r="O51" s="25"/>
      <c r="P51" s="655"/>
      <c r="Q51" s="655"/>
      <c r="R51" s="25"/>
    </row>
    <row r="52" spans="1:18" ht="15" customHeight="1">
      <c r="A52" s="269">
        <v>1750</v>
      </c>
      <c r="B52" s="662">
        <v>545</v>
      </c>
      <c r="C52" s="662">
        <v>650</v>
      </c>
      <c r="D52" s="662">
        <v>735</v>
      </c>
      <c r="E52" s="664">
        <v>455</v>
      </c>
      <c r="F52" s="664">
        <v>545</v>
      </c>
      <c r="G52" s="664">
        <v>615</v>
      </c>
      <c r="H52" s="269">
        <v>1750</v>
      </c>
      <c r="I52" s="25"/>
      <c r="K52" s="269" t="s">
        <v>697</v>
      </c>
      <c r="L52" s="234">
        <v>1750000</v>
      </c>
      <c r="O52" s="25"/>
      <c r="P52" s="655"/>
      <c r="Q52" s="655"/>
      <c r="R52" s="25"/>
    </row>
    <row r="53" spans="1:18" ht="15" customHeight="1">
      <c r="A53" s="269">
        <v>2000</v>
      </c>
      <c r="B53" s="662">
        <v>555</v>
      </c>
      <c r="C53" s="662">
        <v>665</v>
      </c>
      <c r="D53" s="662">
        <v>750</v>
      </c>
      <c r="E53" s="664">
        <v>470</v>
      </c>
      <c r="F53" s="664">
        <v>560</v>
      </c>
      <c r="G53" s="664">
        <v>630</v>
      </c>
      <c r="H53" s="269">
        <v>2000</v>
      </c>
      <c r="I53" s="25"/>
      <c r="K53" s="269" t="s">
        <v>698</v>
      </c>
      <c r="L53" s="234">
        <v>2000000</v>
      </c>
      <c r="O53" s="25"/>
      <c r="P53" s="655"/>
      <c r="Q53" s="655"/>
      <c r="R53" s="25"/>
    </row>
    <row r="54" spans="1:18" ht="15" customHeight="1">
      <c r="A54" s="25"/>
      <c r="B54" s="25"/>
      <c r="C54" s="25"/>
      <c r="D54" s="25"/>
      <c r="E54" s="25"/>
      <c r="F54" s="25"/>
      <c r="G54" s="655"/>
      <c r="H54" s="655"/>
      <c r="I54" s="25"/>
      <c r="J54" s="25"/>
      <c r="K54" s="25"/>
      <c r="L54" s="25"/>
      <c r="M54" s="25"/>
      <c r="N54" s="25"/>
      <c r="O54" s="25"/>
      <c r="P54" s="655"/>
      <c r="Q54" s="655"/>
      <c r="R54" s="25"/>
    </row>
    <row r="55" spans="1:18" ht="15" customHeight="1">
      <c r="A55" s="1207" t="s">
        <v>665</v>
      </c>
      <c r="B55" s="1207"/>
      <c r="C55" s="1207"/>
      <c r="D55" s="1207"/>
      <c r="E55" s="1207"/>
      <c r="F55" s="1207"/>
      <c r="G55" s="1207"/>
      <c r="H55" s="1207"/>
      <c r="J55" s="25"/>
      <c r="K55" s="25"/>
      <c r="L55" s="25"/>
      <c r="M55" s="25"/>
      <c r="R55" s="25"/>
    </row>
    <row r="56" spans="1:18" ht="15" customHeight="1">
      <c r="J56" s="25"/>
      <c r="K56" s="25"/>
      <c r="L56" s="25"/>
      <c r="M56" s="25"/>
      <c r="N56" s="25"/>
      <c r="O56" s="25"/>
      <c r="P56" s="655"/>
      <c r="Q56" s="655"/>
      <c r="R56" s="25"/>
    </row>
    <row r="57" spans="1:18" ht="15" customHeight="1">
      <c r="J57" s="25"/>
      <c r="K57" s="25"/>
      <c r="L57" s="25"/>
      <c r="M57" s="25"/>
      <c r="N57" s="25"/>
      <c r="O57" s="25"/>
      <c r="P57" s="655"/>
      <c r="Q57" s="655"/>
      <c r="R57" s="25"/>
    </row>
    <row r="58" spans="1:18" ht="15" customHeight="1">
      <c r="J58" s="25"/>
      <c r="K58" s="25"/>
      <c r="L58" s="25"/>
      <c r="M58" s="25"/>
      <c r="N58" s="25"/>
      <c r="O58" s="25"/>
      <c r="P58" s="655"/>
      <c r="Q58" s="655"/>
      <c r="R58" s="25"/>
    </row>
    <row r="59" spans="1:18" ht="15" customHeight="1">
      <c r="J59" s="25"/>
      <c r="K59" s="25"/>
      <c r="L59" s="25"/>
      <c r="M59" s="25"/>
      <c r="N59" s="25"/>
      <c r="O59" s="25"/>
      <c r="P59" s="655"/>
      <c r="Q59" s="655"/>
      <c r="R59" s="25"/>
    </row>
    <row r="60" spans="1:18" ht="15" customHeight="1">
      <c r="J60" s="25"/>
      <c r="K60" s="25"/>
      <c r="L60" s="25"/>
      <c r="M60" s="25"/>
      <c r="N60" s="25"/>
      <c r="O60" s="25"/>
      <c r="P60" s="655"/>
      <c r="Q60" s="655"/>
      <c r="R60" s="25"/>
    </row>
    <row r="61" spans="1:18" ht="15" customHeight="1">
      <c r="J61" s="25"/>
      <c r="K61" s="25"/>
      <c r="L61" s="25"/>
      <c r="N61" s="25"/>
      <c r="O61" s="25"/>
      <c r="P61" s="655"/>
      <c r="Q61" s="655"/>
      <c r="R61" s="25"/>
    </row>
    <row r="62" spans="1:18" ht="15" customHeight="1">
      <c r="J62" s="25"/>
      <c r="K62" s="25"/>
      <c r="L62" s="25"/>
    </row>
    <row r="63" spans="1:18" ht="15" customHeight="1">
      <c r="J63" s="25"/>
      <c r="K63" s="25"/>
      <c r="L63" s="25"/>
    </row>
    <row r="64" spans="1:18" ht="15" customHeight="1">
      <c r="J64" s="25"/>
      <c r="K64" s="25"/>
      <c r="L64" s="25"/>
    </row>
    <row r="65" spans="10:12" ht="15" customHeight="1">
      <c r="J65" s="25"/>
      <c r="K65" s="25"/>
      <c r="L65" s="25"/>
    </row>
    <row r="66" spans="10:12" ht="15" customHeight="1">
      <c r="J66" s="25"/>
      <c r="K66" s="25"/>
      <c r="L66" s="25"/>
    </row>
    <row r="67" spans="10:12" ht="15" customHeight="1">
      <c r="J67" s="25"/>
      <c r="K67" s="25"/>
      <c r="L67" s="25"/>
    </row>
    <row r="68" spans="10:12" ht="15" customHeight="1">
      <c r="J68" s="25"/>
      <c r="K68" s="25"/>
      <c r="L68" s="25"/>
    </row>
    <row r="69" spans="10:12" ht="15" customHeight="1">
      <c r="J69" s="25"/>
      <c r="K69" s="25"/>
      <c r="L69" s="25"/>
    </row>
    <row r="70" spans="10:12" ht="15" customHeight="1">
      <c r="J70" s="25"/>
      <c r="K70" s="25"/>
      <c r="L70" s="25"/>
    </row>
    <row r="71" spans="10:12" ht="15" customHeight="1">
      <c r="J71" s="25"/>
      <c r="K71" s="25"/>
      <c r="L71" s="25"/>
    </row>
    <row r="72" spans="10:12" ht="15" customHeight="1">
      <c r="J72" s="25"/>
      <c r="K72" s="25"/>
      <c r="L72" s="25"/>
    </row>
    <row r="73" spans="10:12" ht="15" customHeight="1">
      <c r="J73" s="25"/>
      <c r="K73" s="25"/>
      <c r="L73" s="25"/>
    </row>
    <row r="74" spans="10:12" ht="15" customHeight="1">
      <c r="J74" s="25"/>
      <c r="K74" s="25"/>
      <c r="L74" s="25"/>
    </row>
    <row r="75" spans="10:12" ht="15" customHeight="1">
      <c r="J75" s="25"/>
      <c r="K75" s="25"/>
      <c r="L75" s="25"/>
    </row>
    <row r="76" spans="10:12" ht="15" customHeight="1">
      <c r="J76" s="25"/>
      <c r="K76" s="25"/>
      <c r="L76" s="25"/>
    </row>
    <row r="77" spans="10:12" ht="15" customHeight="1">
      <c r="J77" s="25"/>
      <c r="K77" s="25"/>
      <c r="L77" s="25"/>
    </row>
    <row r="78" spans="10:12" ht="15" customHeight="1">
      <c r="J78" s="25"/>
      <c r="K78" s="25"/>
      <c r="L78" s="25"/>
    </row>
    <row r="79" spans="10:12" ht="15" customHeight="1">
      <c r="J79" s="25"/>
      <c r="K79" s="25"/>
      <c r="L79" s="25"/>
    </row>
    <row r="80" spans="10:12" ht="15" customHeight="1">
      <c r="J80" s="25"/>
      <c r="K80" s="25"/>
      <c r="L80" s="25"/>
    </row>
    <row r="81" spans="1:12" ht="15" customHeight="1">
      <c r="J81" s="25"/>
      <c r="K81" s="25"/>
      <c r="L81" s="25"/>
    </row>
    <row r="82" spans="1:12" ht="15" customHeight="1">
      <c r="J82" s="25"/>
      <c r="K82" s="25"/>
      <c r="L82" s="25"/>
    </row>
    <row r="83" spans="1:12" ht="15" customHeight="1">
      <c r="J83" s="25"/>
      <c r="K83" s="25"/>
      <c r="L83" s="25"/>
    </row>
    <row r="84" spans="1:12" ht="15" customHeight="1">
      <c r="J84" s="25"/>
      <c r="K84" s="25"/>
      <c r="L84" s="25"/>
    </row>
    <row r="85" spans="1:12" ht="15" customHeight="1">
      <c r="J85" s="25"/>
      <c r="K85" s="25"/>
      <c r="L85" s="25"/>
    </row>
    <row r="86" spans="1:12" ht="15" customHeight="1">
      <c r="J86" s="25"/>
      <c r="K86" s="25"/>
      <c r="L86" s="25"/>
    </row>
    <row r="87" spans="1:12" ht="15" customHeight="1">
      <c r="J87" s="25"/>
      <c r="K87" s="25"/>
      <c r="L87" s="25"/>
    </row>
    <row r="88" spans="1:12" ht="15" customHeight="1">
      <c r="J88" s="25"/>
      <c r="K88" s="25"/>
      <c r="L88" s="25"/>
    </row>
    <row r="89" spans="1:12" ht="15" customHeight="1">
      <c r="J89" s="25"/>
      <c r="K89" s="25"/>
      <c r="L89" s="25"/>
    </row>
    <row r="90" spans="1:12" ht="15" customHeight="1">
      <c r="J90" s="25"/>
      <c r="K90" s="25"/>
      <c r="L90" s="25"/>
    </row>
    <row r="91" spans="1:12" ht="15" customHeight="1">
      <c r="J91" s="25"/>
      <c r="K91" s="25"/>
      <c r="L91" s="25"/>
    </row>
    <row r="92" spans="1:12" ht="15" customHeight="1">
      <c r="J92" s="25"/>
      <c r="K92" s="25"/>
      <c r="L92" s="25"/>
    </row>
    <row r="93" spans="1:12" ht="15" customHeight="1">
      <c r="J93" s="25"/>
      <c r="K93" s="25"/>
      <c r="L93" s="25"/>
    </row>
    <row r="94" spans="1:12" ht="15" customHeight="1">
      <c r="A94" s="25"/>
      <c r="B94" s="25"/>
      <c r="C94" s="25"/>
      <c r="D94" s="25"/>
      <c r="E94" s="25"/>
      <c r="F94" s="25"/>
      <c r="G94" s="655"/>
      <c r="H94" s="655"/>
      <c r="I94" s="25"/>
      <c r="J94" s="25"/>
      <c r="K94" s="25"/>
      <c r="L94" s="25"/>
    </row>
    <row r="95" spans="1:12" ht="15" customHeight="1">
      <c r="A95" s="25"/>
      <c r="B95" s="25"/>
      <c r="C95" s="25"/>
      <c r="D95" s="25"/>
      <c r="E95" s="25"/>
      <c r="F95" s="25"/>
      <c r="G95" s="655"/>
      <c r="H95" s="655"/>
      <c r="I95" s="25"/>
      <c r="J95" s="25"/>
      <c r="K95" s="25"/>
      <c r="L95" s="25"/>
    </row>
    <row r="96" spans="1:12" ht="15" customHeight="1">
      <c r="A96" s="25"/>
      <c r="B96" s="25"/>
      <c r="C96" s="25"/>
      <c r="D96" s="25"/>
      <c r="E96" s="25"/>
      <c r="F96" s="25"/>
      <c r="G96" s="655"/>
      <c r="H96" s="655"/>
      <c r="I96" s="25"/>
      <c r="J96" s="25"/>
      <c r="K96" s="25"/>
      <c r="L96" s="25"/>
    </row>
    <row r="97" spans="1:12" ht="15" customHeight="1">
      <c r="A97" s="25"/>
      <c r="B97" s="25"/>
      <c r="C97" s="25"/>
      <c r="D97" s="25"/>
      <c r="E97" s="25"/>
      <c r="F97" s="25"/>
      <c r="G97" s="655"/>
      <c r="H97" s="655"/>
      <c r="I97" s="25"/>
      <c r="J97" s="25"/>
      <c r="K97" s="25"/>
      <c r="L97" s="25"/>
    </row>
    <row r="98" spans="1:12" ht="15" customHeight="1">
      <c r="A98" s="25"/>
      <c r="B98" s="25"/>
      <c r="C98" s="25"/>
      <c r="D98" s="25"/>
      <c r="E98" s="25"/>
      <c r="F98" s="25"/>
      <c r="G98" s="655"/>
      <c r="H98" s="655"/>
      <c r="I98" s="25"/>
      <c r="J98" s="25"/>
      <c r="K98" s="25"/>
      <c r="L98" s="25"/>
    </row>
    <row r="99" spans="1:12" ht="15" customHeight="1">
      <c r="A99" s="25"/>
      <c r="B99" s="25"/>
      <c r="C99" s="25"/>
      <c r="D99" s="25"/>
      <c r="E99" s="25"/>
      <c r="F99" s="25"/>
      <c r="G99" s="655"/>
      <c r="H99" s="655"/>
      <c r="I99" s="25"/>
      <c r="J99" s="25"/>
      <c r="K99" s="25"/>
      <c r="L99" s="25"/>
    </row>
    <row r="100" spans="1:12" ht="15" customHeight="1">
      <c r="A100" s="25"/>
      <c r="B100" s="25"/>
      <c r="C100" s="25"/>
      <c r="D100" s="25"/>
      <c r="E100" s="25"/>
      <c r="F100" s="25"/>
      <c r="G100" s="655"/>
      <c r="H100" s="655"/>
      <c r="I100" s="25"/>
      <c r="J100" s="25"/>
      <c r="K100" s="25"/>
      <c r="L100" s="25"/>
    </row>
    <row r="101" spans="1:12" ht="15" customHeight="1">
      <c r="A101" s="25"/>
      <c r="B101" s="25"/>
      <c r="C101" s="25"/>
      <c r="D101" s="25"/>
      <c r="E101" s="25"/>
      <c r="F101" s="25"/>
      <c r="G101" s="655"/>
      <c r="H101" s="655"/>
      <c r="I101" s="25"/>
      <c r="J101" s="25"/>
      <c r="K101" s="25"/>
      <c r="L101" s="25"/>
    </row>
    <row r="102" spans="1:12" ht="15" customHeight="1">
      <c r="A102" s="25"/>
      <c r="B102" s="25"/>
      <c r="C102" s="25"/>
      <c r="D102" s="25"/>
      <c r="E102" s="25"/>
      <c r="F102" s="25"/>
      <c r="G102" s="655"/>
      <c r="H102" s="655"/>
      <c r="I102" s="25"/>
      <c r="J102" s="25"/>
      <c r="K102" s="25"/>
      <c r="L102" s="25"/>
    </row>
    <row r="103" spans="1:12" ht="15" customHeight="1">
      <c r="A103" s="25"/>
      <c r="B103" s="25"/>
      <c r="C103" s="25"/>
      <c r="D103" s="25"/>
      <c r="E103" s="25"/>
      <c r="F103" s="25"/>
      <c r="G103" s="655"/>
      <c r="H103" s="655"/>
      <c r="I103" s="25"/>
      <c r="J103" s="25"/>
      <c r="K103" s="25"/>
      <c r="L103" s="25"/>
    </row>
    <row r="104" spans="1:12" ht="15" customHeight="1">
      <c r="A104" s="25"/>
      <c r="B104" s="25"/>
      <c r="C104" s="25"/>
      <c r="D104" s="25"/>
      <c r="E104" s="25"/>
      <c r="F104" s="25"/>
      <c r="G104" s="655"/>
      <c r="H104" s="655"/>
      <c r="I104" s="25"/>
      <c r="J104" s="25"/>
      <c r="K104" s="25"/>
      <c r="L104" s="25"/>
    </row>
    <row r="105" spans="1:12" ht="15" customHeight="1">
      <c r="A105" s="25"/>
      <c r="B105" s="25"/>
      <c r="C105" s="25"/>
      <c r="D105" s="25"/>
      <c r="E105" s="25"/>
      <c r="F105" s="25"/>
      <c r="G105" s="655"/>
      <c r="H105" s="655"/>
      <c r="I105" s="25"/>
      <c r="J105" s="25"/>
      <c r="K105" s="25"/>
      <c r="L105" s="25"/>
    </row>
    <row r="106" spans="1:12" ht="15" customHeight="1">
      <c r="A106" s="25"/>
      <c r="B106" s="25"/>
      <c r="C106" s="25"/>
      <c r="D106" s="25"/>
      <c r="E106" s="25"/>
      <c r="F106" s="25"/>
      <c r="G106" s="655"/>
      <c r="H106" s="655"/>
      <c r="I106" s="25"/>
      <c r="J106" s="25"/>
      <c r="K106" s="25"/>
      <c r="L106" s="25"/>
    </row>
    <row r="107" spans="1:12" ht="15" customHeight="1">
      <c r="A107" s="25"/>
      <c r="B107" s="25"/>
      <c r="C107" s="25"/>
      <c r="D107" s="25"/>
      <c r="E107" s="25"/>
      <c r="F107" s="25"/>
      <c r="G107" s="655"/>
      <c r="H107" s="655"/>
      <c r="I107" s="25"/>
      <c r="J107" s="25"/>
      <c r="K107" s="25"/>
      <c r="L107" s="25"/>
    </row>
    <row r="108" spans="1:12" ht="15" customHeight="1">
      <c r="A108" s="25"/>
      <c r="B108" s="25"/>
      <c r="C108" s="25"/>
      <c r="D108" s="25"/>
      <c r="E108" s="25"/>
      <c r="F108" s="25"/>
      <c r="G108" s="655"/>
      <c r="H108" s="655"/>
      <c r="I108" s="25"/>
      <c r="J108" s="25"/>
      <c r="K108" s="25"/>
      <c r="L108" s="25"/>
    </row>
    <row r="109" spans="1:12" ht="15" customHeight="1">
      <c r="A109" s="25"/>
      <c r="B109" s="25"/>
      <c r="C109" s="25"/>
      <c r="D109" s="25"/>
      <c r="E109" s="25"/>
      <c r="F109" s="25"/>
      <c r="G109" s="655"/>
      <c r="H109" s="655"/>
      <c r="I109" s="25"/>
      <c r="J109" s="25"/>
      <c r="K109" s="25"/>
      <c r="L109" s="25"/>
    </row>
    <row r="110" spans="1:12" ht="15" customHeight="1">
      <c r="A110" s="25"/>
      <c r="B110" s="25"/>
      <c r="C110" s="25"/>
      <c r="D110" s="25"/>
      <c r="E110" s="25"/>
      <c r="F110" s="25"/>
      <c r="G110" s="655"/>
      <c r="H110" s="655"/>
      <c r="I110" s="25"/>
      <c r="J110" s="25"/>
      <c r="K110" s="25"/>
      <c r="L110" s="25"/>
    </row>
    <row r="111" spans="1:12" ht="15" customHeight="1">
      <c r="A111" s="25"/>
      <c r="B111" s="25"/>
      <c r="C111" s="25"/>
      <c r="D111" s="25"/>
      <c r="E111" s="25"/>
      <c r="F111" s="25"/>
      <c r="G111" s="655"/>
      <c r="H111" s="655"/>
      <c r="I111" s="25"/>
      <c r="J111" s="25"/>
      <c r="K111" s="25"/>
      <c r="L111" s="25"/>
    </row>
    <row r="112" spans="1:12" ht="15" customHeight="1">
      <c r="A112" s="25"/>
      <c r="B112" s="25"/>
      <c r="C112" s="25"/>
      <c r="D112" s="25"/>
      <c r="E112" s="25"/>
      <c r="F112" s="25"/>
      <c r="G112" s="655"/>
      <c r="H112" s="655"/>
      <c r="I112" s="25"/>
      <c r="J112" s="25"/>
      <c r="K112" s="25"/>
      <c r="L112" s="25"/>
    </row>
    <row r="113" spans="1:12" ht="15" customHeight="1">
      <c r="A113" s="25"/>
      <c r="B113" s="25"/>
      <c r="C113" s="25"/>
      <c r="D113" s="25"/>
      <c r="E113" s="25"/>
      <c r="F113" s="25"/>
      <c r="G113" s="655"/>
      <c r="H113" s="655"/>
      <c r="I113" s="25"/>
      <c r="J113" s="25"/>
      <c r="K113" s="25"/>
      <c r="L113" s="25"/>
    </row>
    <row r="114" spans="1:12" ht="15" customHeight="1">
      <c r="A114" s="25"/>
      <c r="B114" s="25"/>
      <c r="C114" s="25"/>
      <c r="D114" s="25"/>
      <c r="E114" s="25"/>
      <c r="F114" s="25"/>
      <c r="G114" s="655"/>
      <c r="H114" s="655"/>
      <c r="I114" s="25"/>
      <c r="J114" s="25"/>
      <c r="K114" s="25"/>
      <c r="L114" s="25"/>
    </row>
    <row r="115" spans="1:12" ht="15" customHeight="1">
      <c r="A115" s="25"/>
      <c r="B115" s="25"/>
      <c r="C115" s="25"/>
      <c r="D115" s="25"/>
      <c r="E115" s="25"/>
      <c r="F115" s="25"/>
      <c r="G115" s="655"/>
      <c r="H115" s="655"/>
      <c r="I115" s="25"/>
      <c r="J115" s="25"/>
      <c r="K115" s="25"/>
      <c r="L115" s="25"/>
    </row>
    <row r="116" spans="1:12" ht="15" customHeight="1">
      <c r="A116" s="25"/>
      <c r="B116" s="25"/>
      <c r="C116" s="25"/>
      <c r="D116" s="25"/>
      <c r="E116" s="25"/>
      <c r="F116" s="25"/>
      <c r="G116" s="655"/>
      <c r="H116" s="655"/>
      <c r="I116" s="25"/>
    </row>
  </sheetData>
  <sheetProtection algorithmName="SHA-512" hashValue="ALA1yAlDcmnBrTn5GxQ3Yuo69e4EKX85reXIjkQOr+iChSFZWADIIDOlzPippaoJu2u9tQqW1jDxRaL/rlCqUA==" saltValue="uATEGx2C5V4LQWXEz0tpKA==" spinCount="100000" sheet="1" objects="1" scenarios="1"/>
  <mergeCells count="7">
    <mergeCell ref="A55:H55"/>
    <mergeCell ref="D1:E1"/>
    <mergeCell ref="G1:H1"/>
    <mergeCell ref="J1:L1"/>
    <mergeCell ref="A23:H23"/>
    <mergeCell ref="B24:D24"/>
    <mergeCell ref="E24:G24"/>
  </mergeCells>
  <pageMargins left="0.74791666666666701" right="0.74791666666666701" top="0.98402777777777795" bottom="0.98402777777777795" header="0.51180555555555596" footer="0.51180555555555596"/>
  <pageSetup scale="75" firstPageNumber="0"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pageSetUpPr fitToPage="1"/>
  </sheetPr>
  <dimension ref="A1:L38"/>
  <sheetViews>
    <sheetView workbookViewId="0">
      <selection activeCell="K35" sqref="K35"/>
    </sheetView>
  </sheetViews>
  <sheetFormatPr defaultColWidth="9.140625" defaultRowHeight="12.75"/>
  <cols>
    <col min="1" max="1" width="9.85546875" style="250" customWidth="1"/>
    <col min="2" max="12" width="10.28515625" style="250" customWidth="1"/>
    <col min="13" max="16384" width="9.140625" style="250"/>
  </cols>
  <sheetData>
    <row r="1" spans="1:9">
      <c r="A1" s="732" t="s">
        <v>607</v>
      </c>
      <c r="B1" s="732"/>
      <c r="C1" s="732"/>
      <c r="D1" s="732"/>
      <c r="E1" s="732"/>
      <c r="F1" s="732"/>
      <c r="G1" s="733"/>
      <c r="H1" s="733"/>
      <c r="I1" s="884">
        <v>42676</v>
      </c>
    </row>
    <row r="2" spans="1:9">
      <c r="G2" s="734"/>
      <c r="H2" s="734"/>
    </row>
    <row r="3" spans="1:9">
      <c r="A3" s="735" t="s">
        <v>608</v>
      </c>
      <c r="B3" s="736" t="s">
        <v>609</v>
      </c>
      <c r="C3" s="736" t="s">
        <v>610</v>
      </c>
      <c r="D3" s="736" t="s">
        <v>611</v>
      </c>
      <c r="E3" s="736" t="s">
        <v>612</v>
      </c>
      <c r="F3" s="736" t="s">
        <v>613</v>
      </c>
      <c r="G3" s="737" t="s">
        <v>275</v>
      </c>
      <c r="H3" s="737" t="s">
        <v>614</v>
      </c>
      <c r="I3" s="736" t="s">
        <v>252</v>
      </c>
    </row>
    <row r="4" spans="1:9">
      <c r="A4" s="738" t="s">
        <v>624</v>
      </c>
      <c r="B4" s="611">
        <f>20000/(480*1.732)</f>
        <v>24.056966897613549</v>
      </c>
      <c r="C4" s="611">
        <v>480</v>
      </c>
      <c r="D4" s="611">
        <v>1</v>
      </c>
      <c r="E4" s="611">
        <v>1</v>
      </c>
      <c r="F4" s="611">
        <v>1.732</v>
      </c>
      <c r="G4" s="745">
        <f>(C4*B4*F4*D4)/1000</f>
        <v>20</v>
      </c>
      <c r="H4" s="745">
        <f>(C4*B4*F4)/1000</f>
        <v>20</v>
      </c>
      <c r="I4" s="745">
        <f>(C4*B4*E4*D4*F4)/746</f>
        <v>26.809651474530831</v>
      </c>
    </row>
    <row r="5" spans="1:9">
      <c r="A5" s="738" t="s">
        <v>615</v>
      </c>
      <c r="B5" s="611">
        <v>1696</v>
      </c>
      <c r="C5" s="611">
        <v>480</v>
      </c>
      <c r="D5" s="611">
        <v>0.8</v>
      </c>
      <c r="E5" s="611">
        <v>0.9</v>
      </c>
      <c r="F5" s="611">
        <v>1.732</v>
      </c>
      <c r="G5" s="745">
        <f>(C5*B5*F5*D5)/1000</f>
        <v>1127.9892480000001</v>
      </c>
      <c r="H5" s="745">
        <f>(C5*B5*F5)/1000</f>
        <v>1409.9865600000001</v>
      </c>
      <c r="I5" s="745">
        <f>(C5*B5*E5*D5*F5)/746</f>
        <v>1360.8449372654156</v>
      </c>
    </row>
    <row r="6" spans="1:9">
      <c r="A6" s="738" t="s">
        <v>616</v>
      </c>
      <c r="B6" s="611">
        <v>0</v>
      </c>
      <c r="C6" s="611">
        <v>480</v>
      </c>
      <c r="D6" s="611">
        <v>0.8</v>
      </c>
      <c r="E6" s="611">
        <v>0.9</v>
      </c>
      <c r="F6" s="611">
        <v>1.732</v>
      </c>
      <c r="G6" s="745">
        <f>(C6*B6*F6*D6)/1000</f>
        <v>0</v>
      </c>
      <c r="H6" s="745">
        <f>(C6*B6*F6)/1000</f>
        <v>0</v>
      </c>
      <c r="I6" s="745">
        <f>(C6*B6*E6*D6*F6)/746</f>
        <v>0</v>
      </c>
    </row>
    <row r="7" spans="1:9">
      <c r="A7" s="738" t="s">
        <v>617</v>
      </c>
      <c r="B7" s="611">
        <v>162</v>
      </c>
      <c r="C7" s="611">
        <v>480</v>
      </c>
      <c r="D7" s="611">
        <v>0.8</v>
      </c>
      <c r="E7" s="611">
        <v>0.9</v>
      </c>
      <c r="F7" s="611">
        <v>1.732</v>
      </c>
      <c r="G7" s="745">
        <f>(C7*B7*F7*D7)/1000</f>
        <v>107.74425600000001</v>
      </c>
      <c r="H7" s="745">
        <f>(C7*B7*F7)/1000</f>
        <v>134.68031999999999</v>
      </c>
      <c r="I7" s="745">
        <f>(C7*B7*E7*D7*F7)/746</f>
        <v>129.98636782841825</v>
      </c>
    </row>
    <row r="8" spans="1:9">
      <c r="A8" s="738"/>
      <c r="B8" s="611">
        <v>162</v>
      </c>
      <c r="C8" s="611">
        <v>480</v>
      </c>
      <c r="D8" s="611">
        <v>0.8</v>
      </c>
      <c r="E8" s="611">
        <v>0.9</v>
      </c>
      <c r="F8" s="611">
        <v>1.732</v>
      </c>
      <c r="G8" s="745">
        <f t="shared" ref="G8:G20" si="0">(C8*B8*F8*D8)/1000</f>
        <v>107.74425600000001</v>
      </c>
      <c r="H8" s="745">
        <f t="shared" ref="H8:H20" si="1">(C8*B8*F8)/1000</f>
        <v>134.68031999999999</v>
      </c>
      <c r="I8" s="745">
        <f t="shared" ref="I8:I20" si="2">(C8*B8*E8*D8*F8)/746</f>
        <v>129.98636782841825</v>
      </c>
    </row>
    <row r="9" spans="1:9">
      <c r="A9" s="738"/>
      <c r="B9" s="611">
        <v>162</v>
      </c>
      <c r="C9" s="611">
        <v>480</v>
      </c>
      <c r="D9" s="611">
        <v>0.8</v>
      </c>
      <c r="E9" s="611">
        <v>0.9</v>
      </c>
      <c r="F9" s="611">
        <v>1.732</v>
      </c>
      <c r="G9" s="745">
        <f t="shared" si="0"/>
        <v>107.74425600000001</v>
      </c>
      <c r="H9" s="745">
        <f t="shared" si="1"/>
        <v>134.68031999999999</v>
      </c>
      <c r="I9" s="745">
        <f t="shared" si="2"/>
        <v>129.98636782841825</v>
      </c>
    </row>
    <row r="10" spans="1:9">
      <c r="A10" s="738"/>
      <c r="B10" s="611">
        <v>162</v>
      </c>
      <c r="C10" s="611">
        <v>480</v>
      </c>
      <c r="D10" s="611">
        <v>0.8</v>
      </c>
      <c r="E10" s="611">
        <v>0.9</v>
      </c>
      <c r="F10" s="611">
        <v>1.732</v>
      </c>
      <c r="G10" s="745">
        <f t="shared" si="0"/>
        <v>107.74425600000001</v>
      </c>
      <c r="H10" s="745">
        <f t="shared" si="1"/>
        <v>134.68031999999999</v>
      </c>
      <c r="I10" s="745">
        <f t="shared" si="2"/>
        <v>129.98636782841825</v>
      </c>
    </row>
    <row r="11" spans="1:9">
      <c r="A11" s="738"/>
      <c r="B11" s="611">
        <v>162</v>
      </c>
      <c r="C11" s="611">
        <v>480</v>
      </c>
      <c r="D11" s="611">
        <v>0.8</v>
      </c>
      <c r="E11" s="611">
        <v>0.9</v>
      </c>
      <c r="F11" s="611">
        <v>1.732</v>
      </c>
      <c r="G11" s="745">
        <f t="shared" si="0"/>
        <v>107.74425600000001</v>
      </c>
      <c r="H11" s="745">
        <f t="shared" si="1"/>
        <v>134.68031999999999</v>
      </c>
      <c r="I11" s="745">
        <f t="shared" si="2"/>
        <v>129.98636782841825</v>
      </c>
    </row>
    <row r="12" spans="1:9">
      <c r="A12" s="738"/>
      <c r="B12" s="611">
        <v>162</v>
      </c>
      <c r="C12" s="611">
        <v>480</v>
      </c>
      <c r="D12" s="611">
        <v>0.8</v>
      </c>
      <c r="E12" s="611">
        <v>0.9</v>
      </c>
      <c r="F12" s="611">
        <v>1.732</v>
      </c>
      <c r="G12" s="745">
        <f t="shared" si="0"/>
        <v>107.74425600000001</v>
      </c>
      <c r="H12" s="745">
        <f t="shared" si="1"/>
        <v>134.68031999999999</v>
      </c>
      <c r="I12" s="745">
        <f t="shared" si="2"/>
        <v>129.98636782841825</v>
      </c>
    </row>
    <row r="13" spans="1:9">
      <c r="A13" s="738"/>
      <c r="B13" s="611">
        <v>162</v>
      </c>
      <c r="C13" s="611">
        <v>480</v>
      </c>
      <c r="D13" s="611">
        <v>0.8</v>
      </c>
      <c r="E13" s="611">
        <v>0.9</v>
      </c>
      <c r="F13" s="611">
        <v>1.732</v>
      </c>
      <c r="G13" s="745">
        <f t="shared" si="0"/>
        <v>107.74425600000001</v>
      </c>
      <c r="H13" s="745">
        <f t="shared" si="1"/>
        <v>134.68031999999999</v>
      </c>
      <c r="I13" s="745">
        <f t="shared" si="2"/>
        <v>129.98636782841825</v>
      </c>
    </row>
    <row r="14" spans="1:9">
      <c r="A14" s="738"/>
      <c r="B14" s="611">
        <v>162</v>
      </c>
      <c r="C14" s="611">
        <v>480</v>
      </c>
      <c r="D14" s="611">
        <v>0.8</v>
      </c>
      <c r="E14" s="611">
        <v>0.9</v>
      </c>
      <c r="F14" s="611">
        <v>1.732</v>
      </c>
      <c r="G14" s="745">
        <f t="shared" si="0"/>
        <v>107.74425600000001</v>
      </c>
      <c r="H14" s="745">
        <f t="shared" si="1"/>
        <v>134.68031999999999</v>
      </c>
      <c r="I14" s="745">
        <f t="shared" si="2"/>
        <v>129.98636782841825</v>
      </c>
    </row>
    <row r="15" spans="1:9">
      <c r="A15" s="738"/>
      <c r="B15" s="611">
        <v>162</v>
      </c>
      <c r="C15" s="611">
        <v>480</v>
      </c>
      <c r="D15" s="611">
        <v>0.8</v>
      </c>
      <c r="E15" s="611">
        <v>0.9</v>
      </c>
      <c r="F15" s="611">
        <v>1.732</v>
      </c>
      <c r="G15" s="745">
        <f t="shared" si="0"/>
        <v>107.74425600000001</v>
      </c>
      <c r="H15" s="745">
        <f t="shared" si="1"/>
        <v>134.68031999999999</v>
      </c>
      <c r="I15" s="745">
        <f t="shared" si="2"/>
        <v>129.98636782841825</v>
      </c>
    </row>
    <row r="16" spans="1:9">
      <c r="A16" s="738"/>
      <c r="B16" s="611">
        <v>162</v>
      </c>
      <c r="C16" s="611">
        <v>480</v>
      </c>
      <c r="D16" s="611">
        <v>0.8</v>
      </c>
      <c r="E16" s="611">
        <v>0.9</v>
      </c>
      <c r="F16" s="611">
        <v>1.732</v>
      </c>
      <c r="G16" s="745">
        <f t="shared" si="0"/>
        <v>107.74425600000001</v>
      </c>
      <c r="H16" s="745">
        <f t="shared" si="1"/>
        <v>134.68031999999999</v>
      </c>
      <c r="I16" s="745">
        <f t="shared" si="2"/>
        <v>129.98636782841825</v>
      </c>
    </row>
    <row r="17" spans="1:12">
      <c r="A17" s="738"/>
      <c r="B17" s="611">
        <v>162</v>
      </c>
      <c r="C17" s="611">
        <v>480</v>
      </c>
      <c r="D17" s="611">
        <v>0.8</v>
      </c>
      <c r="E17" s="611">
        <v>0.9</v>
      </c>
      <c r="F17" s="611">
        <v>1.732</v>
      </c>
      <c r="G17" s="745">
        <f t="shared" si="0"/>
        <v>107.74425600000001</v>
      </c>
      <c r="H17" s="745">
        <f t="shared" si="1"/>
        <v>134.68031999999999</v>
      </c>
      <c r="I17" s="745">
        <f t="shared" si="2"/>
        <v>129.98636782841825</v>
      </c>
    </row>
    <row r="18" spans="1:12">
      <c r="A18" s="738"/>
      <c r="B18" s="611">
        <v>162</v>
      </c>
      <c r="C18" s="611">
        <v>480</v>
      </c>
      <c r="D18" s="611">
        <v>0.8</v>
      </c>
      <c r="E18" s="611">
        <v>0.9</v>
      </c>
      <c r="F18" s="611">
        <v>1.732</v>
      </c>
      <c r="G18" s="745">
        <f t="shared" si="0"/>
        <v>107.74425600000001</v>
      </c>
      <c r="H18" s="745">
        <f t="shared" si="1"/>
        <v>134.68031999999999</v>
      </c>
      <c r="I18" s="745">
        <f t="shared" si="2"/>
        <v>129.98636782841825</v>
      </c>
    </row>
    <row r="19" spans="1:12">
      <c r="A19" s="738"/>
      <c r="B19" s="611">
        <v>162</v>
      </c>
      <c r="C19" s="611">
        <v>480</v>
      </c>
      <c r="D19" s="611">
        <v>0.8</v>
      </c>
      <c r="E19" s="611">
        <v>0.9</v>
      </c>
      <c r="F19" s="611">
        <v>1.732</v>
      </c>
      <c r="G19" s="745">
        <f t="shared" si="0"/>
        <v>107.74425600000001</v>
      </c>
      <c r="H19" s="745">
        <f t="shared" si="1"/>
        <v>134.68031999999999</v>
      </c>
      <c r="I19" s="745">
        <f t="shared" si="2"/>
        <v>129.98636782841825</v>
      </c>
    </row>
    <row r="20" spans="1:12">
      <c r="A20" s="738"/>
      <c r="B20" s="611">
        <v>162</v>
      </c>
      <c r="C20" s="611">
        <v>480</v>
      </c>
      <c r="D20" s="611">
        <v>0.8</v>
      </c>
      <c r="E20" s="611">
        <v>0.9</v>
      </c>
      <c r="F20" s="611">
        <v>1.732</v>
      </c>
      <c r="G20" s="745">
        <f t="shared" si="0"/>
        <v>107.74425600000001</v>
      </c>
      <c r="H20" s="745">
        <f t="shared" si="1"/>
        <v>134.68031999999999</v>
      </c>
      <c r="I20" s="745">
        <f t="shared" si="2"/>
        <v>129.98636782841825</v>
      </c>
    </row>
    <row r="21" spans="1:12">
      <c r="A21" s="738"/>
      <c r="B21" s="611"/>
      <c r="C21" s="611">
        <v>480</v>
      </c>
      <c r="D21" s="611">
        <v>0.8</v>
      </c>
      <c r="E21" s="611">
        <v>0.9</v>
      </c>
      <c r="F21" s="611">
        <v>1.732</v>
      </c>
      <c r="G21" s="745">
        <f t="shared" ref="G21:G26" si="3">(C21*B21*F21*D21)/1000</f>
        <v>0</v>
      </c>
      <c r="H21" s="745">
        <f t="shared" ref="H21:H26" si="4">(C21*B21*F21)/1000</f>
        <v>0</v>
      </c>
      <c r="I21" s="745">
        <f t="shared" ref="I21:I26" si="5">(C21*B21*E21*D21*F21)/746</f>
        <v>0</v>
      </c>
    </row>
    <row r="22" spans="1:12">
      <c r="A22" s="738" t="s">
        <v>618</v>
      </c>
      <c r="B22" s="611">
        <v>168</v>
      </c>
      <c r="C22" s="611">
        <v>480</v>
      </c>
      <c r="D22" s="611">
        <v>0.8</v>
      </c>
      <c r="E22" s="611">
        <v>0.9</v>
      </c>
      <c r="F22" s="611">
        <v>1.732</v>
      </c>
      <c r="G22" s="745">
        <f t="shared" si="3"/>
        <v>111.73478400000002</v>
      </c>
      <c r="H22" s="745">
        <f t="shared" si="4"/>
        <v>139.66848000000002</v>
      </c>
      <c r="I22" s="745">
        <f t="shared" si="5"/>
        <v>134.80067774798928</v>
      </c>
    </row>
    <row r="23" spans="1:12">
      <c r="A23" s="738" t="s">
        <v>619</v>
      </c>
      <c r="B23" s="611">
        <v>1956</v>
      </c>
      <c r="C23" s="611">
        <v>480</v>
      </c>
      <c r="D23" s="611">
        <v>0.8</v>
      </c>
      <c r="E23" s="611">
        <v>0.9</v>
      </c>
      <c r="F23" s="611">
        <v>1.732</v>
      </c>
      <c r="G23" s="745">
        <f t="shared" si="3"/>
        <v>1300.9121279999999</v>
      </c>
      <c r="H23" s="745">
        <f t="shared" si="4"/>
        <v>1626.1401599999999</v>
      </c>
      <c r="I23" s="745">
        <f t="shared" si="5"/>
        <v>1569.4650337801611</v>
      </c>
    </row>
    <row r="24" spans="1:12">
      <c r="A24" s="738" t="s">
        <v>620</v>
      </c>
      <c r="B24" s="611">
        <v>2049</v>
      </c>
      <c r="C24" s="611">
        <v>480</v>
      </c>
      <c r="D24" s="611">
        <v>0.8</v>
      </c>
      <c r="E24" s="611">
        <v>0.9</v>
      </c>
      <c r="F24" s="611">
        <v>1.732</v>
      </c>
      <c r="G24" s="745">
        <f t="shared" si="3"/>
        <v>1362.765312</v>
      </c>
      <c r="H24" s="745">
        <f t="shared" si="4"/>
        <v>1703.4566399999999</v>
      </c>
      <c r="I24" s="745">
        <f t="shared" si="5"/>
        <v>1644.0868375335122</v>
      </c>
    </row>
    <row r="25" spans="1:12">
      <c r="A25" s="738" t="s">
        <v>621</v>
      </c>
      <c r="B25" s="611">
        <v>0</v>
      </c>
      <c r="C25" s="611">
        <v>480</v>
      </c>
      <c r="D25" s="611">
        <v>0.8</v>
      </c>
      <c r="E25" s="611">
        <v>0.9</v>
      </c>
      <c r="F25" s="611">
        <v>1.732</v>
      </c>
      <c r="G25" s="745">
        <f t="shared" si="3"/>
        <v>0</v>
      </c>
      <c r="H25" s="745">
        <f t="shared" si="4"/>
        <v>0</v>
      </c>
      <c r="I25" s="745">
        <f t="shared" si="5"/>
        <v>0</v>
      </c>
    </row>
    <row r="26" spans="1:12">
      <c r="A26" s="738" t="s">
        <v>622</v>
      </c>
      <c r="B26" s="611">
        <v>1944</v>
      </c>
      <c r="C26" s="611">
        <v>480</v>
      </c>
      <c r="D26" s="611">
        <v>0.8</v>
      </c>
      <c r="E26" s="611">
        <v>0.9</v>
      </c>
      <c r="F26" s="611">
        <v>1.732</v>
      </c>
      <c r="G26" s="745">
        <f t="shared" si="3"/>
        <v>1292.9310720000001</v>
      </c>
      <c r="H26" s="745">
        <f t="shared" si="4"/>
        <v>1616.1638400000002</v>
      </c>
      <c r="I26" s="745">
        <f t="shared" si="5"/>
        <v>1559.8364139410187</v>
      </c>
    </row>
    <row r="27" spans="1:12">
      <c r="F27" s="732" t="s">
        <v>623</v>
      </c>
      <c r="G27" s="739">
        <f>SUM(G4:G26)</f>
        <v>6724.7521280000001</v>
      </c>
      <c r="H27" s="739">
        <f>SUM(H4:H26)</f>
        <v>8400.9401599999983</v>
      </c>
      <c r="I27" s="739">
        <f>SUM(I4:I26)</f>
        <v>8115.652701340483</v>
      </c>
    </row>
    <row r="28" spans="1:12">
      <c r="F28" s="732"/>
      <c r="G28" s="739"/>
      <c r="H28" s="739"/>
      <c r="I28" s="739"/>
    </row>
    <row r="29" spans="1:12">
      <c r="A29" s="740"/>
      <c r="B29" s="737" t="s">
        <v>614</v>
      </c>
      <c r="C29" s="737" t="s">
        <v>275</v>
      </c>
      <c r="D29" s="736" t="s">
        <v>252</v>
      </c>
      <c r="E29" s="736" t="s">
        <v>610</v>
      </c>
      <c r="F29" s="736" t="s">
        <v>611</v>
      </c>
      <c r="G29" s="736" t="s">
        <v>612</v>
      </c>
      <c r="H29" s="736" t="s">
        <v>613</v>
      </c>
      <c r="I29" s="736" t="s">
        <v>609</v>
      </c>
      <c r="L29" s="741"/>
    </row>
    <row r="30" spans="1:12">
      <c r="A30" s="332"/>
      <c r="B30" s="742">
        <v>20</v>
      </c>
      <c r="C30" s="743">
        <f>(E30*I30*F30*H30)/1000</f>
        <v>16</v>
      </c>
      <c r="D30" s="743">
        <f>(E30*I30*G30*F30*H30)/746</f>
        <v>19.302949061662197</v>
      </c>
      <c r="E30" s="742">
        <v>480</v>
      </c>
      <c r="F30" s="742">
        <v>0.8</v>
      </c>
      <c r="G30" s="742">
        <v>0.9</v>
      </c>
      <c r="H30" s="742">
        <v>1.732</v>
      </c>
      <c r="I30" s="743">
        <f>(B30*1000)/(E30*H30)</f>
        <v>24.056966897613549</v>
      </c>
      <c r="J30" s="744"/>
      <c r="K30" s="744"/>
      <c r="L30" s="508"/>
    </row>
    <row r="31" spans="1:12">
      <c r="A31" s="332"/>
      <c r="B31" s="743">
        <f>(E31*I31*H31)/1000</f>
        <v>150.00000000000003</v>
      </c>
      <c r="C31" s="742">
        <v>120</v>
      </c>
      <c r="D31" s="743">
        <f>(E31*I31*G31*F31*H31)/746</f>
        <v>144.77211796246655</v>
      </c>
      <c r="E31" s="742">
        <v>480</v>
      </c>
      <c r="F31" s="742">
        <v>0.8</v>
      </c>
      <c r="G31" s="742">
        <v>0.9</v>
      </c>
      <c r="H31" s="742">
        <v>1.732</v>
      </c>
      <c r="I31" s="743">
        <f>(C31*1000)/(E31*F31*H31)</f>
        <v>180.42725173210164</v>
      </c>
      <c r="L31" s="508"/>
    </row>
    <row r="32" spans="1:12">
      <c r="A32" s="332"/>
      <c r="B32" s="743">
        <f>(E32*I32*H32)/1000</f>
        <v>150.0288888888889</v>
      </c>
      <c r="C32" s="743">
        <f>(E32*I32*F32*H32)/1000</f>
        <v>120.02311111111113</v>
      </c>
      <c r="D32" s="742">
        <v>144.80000000000001</v>
      </c>
      <c r="E32" s="742">
        <v>480</v>
      </c>
      <c r="F32" s="742">
        <v>0.8</v>
      </c>
      <c r="G32" s="742">
        <v>0.9</v>
      </c>
      <c r="H32" s="742">
        <v>1.732</v>
      </c>
      <c r="I32" s="745">
        <f>(D32*746)/(E32*F32*G32*H32)</f>
        <v>180.46200068428706</v>
      </c>
      <c r="J32" s="744"/>
      <c r="K32" s="744"/>
      <c r="L32" s="508"/>
    </row>
    <row r="34" spans="1:2">
      <c r="A34" s="379" t="s">
        <v>666</v>
      </c>
      <c r="B34" s="387"/>
    </row>
    <row r="35" spans="1:2">
      <c r="A35" s="380" t="s">
        <v>762</v>
      </c>
      <c r="B35" s="387"/>
    </row>
    <row r="36" spans="1:2">
      <c r="A36" s="184" t="s">
        <v>763</v>
      </c>
      <c r="B36" s="387"/>
    </row>
    <row r="37" spans="1:2">
      <c r="A37" s="379" t="s">
        <v>766</v>
      </c>
      <c r="B37" s="251"/>
    </row>
    <row r="38" spans="1:2">
      <c r="A38" s="379" t="s">
        <v>3</v>
      </c>
    </row>
  </sheetData>
  <sheetProtection algorithmName="SHA-512" hashValue="qLa4YN74+dt2OuYFy8yK+9dahmPgRlgyiELAfUt98O7LxLcn/32bKfTecwhLM53eRgFRF4sqmJItULzOqzJVrQ==" saltValue="SV3mVZQJGU/k+TG2s6qxQw==" spinCount="100000" sheet="1" objects="1" scenarios="1"/>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000"/>
  </sheetPr>
  <dimension ref="A1:I73"/>
  <sheetViews>
    <sheetView zoomScaleNormal="100" workbookViewId="0">
      <selection activeCell="C39" sqref="C39"/>
    </sheetView>
  </sheetViews>
  <sheetFormatPr defaultColWidth="17.28515625" defaultRowHeight="15.75" customHeight="1"/>
  <cols>
    <col min="1" max="1" width="20" style="17" customWidth="1"/>
    <col min="2" max="2" width="40.7109375" style="17" customWidth="1"/>
    <col min="3" max="3" width="16.5703125" style="17" customWidth="1"/>
    <col min="4" max="4" width="14.28515625" style="17" bestFit="1" customWidth="1"/>
    <col min="5" max="9" width="17.140625" style="17" customWidth="1"/>
    <col min="10" max="16384" width="17.28515625" style="17"/>
  </cols>
  <sheetData>
    <row r="1" spans="1:9" ht="12.75" customHeight="1">
      <c r="A1" s="189" t="s">
        <v>421</v>
      </c>
      <c r="B1" s="190"/>
      <c r="C1" s="190"/>
      <c r="D1" s="190"/>
      <c r="E1" s="190"/>
      <c r="F1" s="190"/>
      <c r="G1" s="466"/>
      <c r="H1" s="109"/>
      <c r="I1" s="109"/>
    </row>
    <row r="2" spans="1:9" ht="12.75" customHeight="1">
      <c r="A2" s="190"/>
      <c r="B2" s="190"/>
      <c r="C2" s="190"/>
      <c r="D2" s="190"/>
      <c r="E2" s="190"/>
      <c r="F2" s="190"/>
      <c r="G2" s="466"/>
      <c r="H2" s="109"/>
      <c r="I2" s="109"/>
    </row>
    <row r="3" spans="1:9" ht="12.75" customHeight="1">
      <c r="A3" s="191">
        <v>60</v>
      </c>
      <c r="B3" s="192" t="s">
        <v>422</v>
      </c>
      <c r="C3" s="466"/>
      <c r="D3" s="109"/>
      <c r="E3" s="109"/>
    </row>
    <row r="4" spans="1:9" ht="12.75" customHeight="1">
      <c r="A4" s="193">
        <f>60/(A3/5)</f>
        <v>5</v>
      </c>
      <c r="B4" s="189" t="s">
        <v>419</v>
      </c>
      <c r="C4" s="466"/>
      <c r="D4" s="109"/>
      <c r="E4" s="109"/>
    </row>
    <row r="5" spans="1:9" ht="12.75" customHeight="1">
      <c r="A5" s="193">
        <f>((A4*60)*24)/42</f>
        <v>171.42857142857142</v>
      </c>
      <c r="B5" s="189" t="s">
        <v>420</v>
      </c>
      <c r="C5" s="466"/>
      <c r="D5" s="109"/>
      <c r="E5" s="109"/>
    </row>
    <row r="6" spans="1:9" ht="12.75" customHeight="1">
      <c r="C6" s="466"/>
      <c r="D6" s="109"/>
      <c r="E6" s="109"/>
    </row>
    <row r="7" spans="1:9" ht="12.75" customHeight="1">
      <c r="A7" s="189" t="s">
        <v>416</v>
      </c>
      <c r="B7" s="190"/>
      <c r="C7" s="466"/>
      <c r="D7" s="109"/>
      <c r="E7" s="109"/>
    </row>
    <row r="8" spans="1:9" ht="12.75" customHeight="1">
      <c r="A8" s="190"/>
      <c r="B8" s="190"/>
      <c r="C8" s="466"/>
      <c r="D8" s="109"/>
      <c r="E8" s="109"/>
    </row>
    <row r="9" spans="1:9" ht="12.75" customHeight="1">
      <c r="A9" s="191">
        <v>910</v>
      </c>
      <c r="B9" s="192" t="s">
        <v>417</v>
      </c>
      <c r="C9" s="466"/>
      <c r="D9" s="109"/>
      <c r="E9" s="109"/>
    </row>
    <row r="10" spans="1:9" ht="12.75" customHeight="1">
      <c r="A10" s="191">
        <v>10000</v>
      </c>
      <c r="B10" s="192" t="s">
        <v>418</v>
      </c>
      <c r="C10" s="466"/>
      <c r="D10" s="109"/>
      <c r="E10" s="109"/>
    </row>
    <row r="11" spans="1:9" ht="12.75" customHeight="1">
      <c r="A11" s="193">
        <f>A10/A9</f>
        <v>10.989010989010989</v>
      </c>
      <c r="B11" s="189" t="s">
        <v>419</v>
      </c>
      <c r="C11" s="466"/>
      <c r="D11" s="109"/>
      <c r="E11" s="109"/>
    </row>
    <row r="12" spans="1:9" ht="12.75" customHeight="1">
      <c r="A12" s="193">
        <f>((A11*60)*24)/42</f>
        <v>376.76609105180535</v>
      </c>
      <c r="B12" s="189" t="s">
        <v>420</v>
      </c>
      <c r="E12" s="190"/>
      <c r="F12" s="190"/>
      <c r="G12" s="466"/>
      <c r="H12" s="109"/>
      <c r="I12" s="109"/>
    </row>
    <row r="13" spans="1:9" ht="12.75" customHeight="1">
      <c r="A13" s="190"/>
      <c r="B13" s="190"/>
      <c r="E13" s="190"/>
      <c r="F13" s="190"/>
      <c r="G13" s="466"/>
      <c r="H13" s="109"/>
      <c r="I13" s="109"/>
    </row>
    <row r="14" spans="1:9" ht="12.75" customHeight="1">
      <c r="A14" s="189" t="s">
        <v>423</v>
      </c>
      <c r="B14" s="190"/>
      <c r="E14" s="190"/>
      <c r="F14" s="190"/>
      <c r="G14" s="466"/>
      <c r="H14" s="109"/>
      <c r="I14" s="109"/>
    </row>
    <row r="15" spans="1:9" ht="12.75" customHeight="1">
      <c r="A15" s="194"/>
      <c r="B15" s="190"/>
      <c r="C15" s="190"/>
      <c r="D15" s="190"/>
      <c r="E15" s="190"/>
      <c r="F15" s="190"/>
      <c r="G15" s="466"/>
      <c r="H15" s="109"/>
      <c r="I15" s="109"/>
    </row>
    <row r="16" spans="1:9" ht="12.75" customHeight="1">
      <c r="A16" s="191">
        <v>15</v>
      </c>
      <c r="B16" s="192" t="s">
        <v>424</v>
      </c>
      <c r="C16" s="190"/>
      <c r="D16" s="190"/>
      <c r="E16" s="190"/>
      <c r="F16" s="190"/>
      <c r="G16" s="466"/>
      <c r="H16" s="109"/>
      <c r="I16" s="109"/>
    </row>
    <row r="17" spans="1:9" ht="12.75" customHeight="1">
      <c r="A17" s="191">
        <v>2</v>
      </c>
      <c r="B17" s="192" t="s">
        <v>425</v>
      </c>
      <c r="C17" s="190"/>
      <c r="D17" s="190"/>
      <c r="E17" s="190"/>
      <c r="F17" s="190"/>
      <c r="G17" s="466"/>
      <c r="H17" s="109"/>
      <c r="I17" s="109"/>
    </row>
    <row r="18" spans="1:9" ht="12.75" customHeight="1">
      <c r="A18" s="195">
        <f>(A16-A17)/0.433</f>
        <v>30.023094688221708</v>
      </c>
      <c r="B18" s="189" t="s">
        <v>426</v>
      </c>
      <c r="C18" s="196" t="s">
        <v>35</v>
      </c>
      <c r="D18" s="190"/>
      <c r="E18" s="190"/>
      <c r="F18" s="190"/>
      <c r="G18" s="466"/>
      <c r="H18" s="109"/>
      <c r="I18" s="109"/>
    </row>
    <row r="19" spans="1:9" ht="12.75" customHeight="1">
      <c r="A19" s="197">
        <f>(A16-A17)/0.44</f>
        <v>29.545454545454547</v>
      </c>
      <c r="B19" s="198" t="s">
        <v>427</v>
      </c>
      <c r="C19" s="190"/>
      <c r="D19" s="190"/>
      <c r="E19" s="190"/>
      <c r="F19" s="190"/>
      <c r="G19" s="466"/>
      <c r="H19" s="109"/>
      <c r="I19" s="109"/>
    </row>
    <row r="20" spans="1:9" ht="12.75" customHeight="1">
      <c r="A20" s="190"/>
      <c r="B20" s="190"/>
      <c r="C20" s="190"/>
      <c r="D20" s="190"/>
      <c r="E20" s="190"/>
      <c r="F20" s="190"/>
      <c r="G20" s="466"/>
      <c r="H20" s="109"/>
      <c r="I20" s="109"/>
    </row>
    <row r="21" spans="1:9" ht="12.75" customHeight="1">
      <c r="A21" s="189" t="s">
        <v>428</v>
      </c>
      <c r="B21" s="190"/>
      <c r="C21" s="190"/>
      <c r="D21" s="190"/>
      <c r="E21" s="190"/>
      <c r="F21" s="190"/>
      <c r="G21" s="466"/>
      <c r="H21" s="109"/>
      <c r="I21" s="109"/>
    </row>
    <row r="22" spans="1:9" ht="12.75" customHeight="1">
      <c r="A22" s="190"/>
      <c r="B22" s="190"/>
      <c r="C22" s="190"/>
      <c r="D22" s="190"/>
      <c r="E22" s="190"/>
      <c r="F22" s="190"/>
      <c r="G22" s="466"/>
      <c r="H22" s="109"/>
      <c r="I22" s="109"/>
    </row>
    <row r="23" spans="1:9" ht="12.75" customHeight="1">
      <c r="A23" s="191">
        <v>100</v>
      </c>
      <c r="B23" s="192" t="s">
        <v>429</v>
      </c>
      <c r="C23" s="190"/>
      <c r="D23" s="190"/>
      <c r="E23" s="190"/>
      <c r="F23" s="190"/>
      <c r="G23" s="466"/>
      <c r="H23" s="109"/>
      <c r="I23" s="109"/>
    </row>
    <row r="24" spans="1:9" ht="12.75" customHeight="1">
      <c r="A24" s="191">
        <v>300</v>
      </c>
      <c r="B24" s="192" t="s">
        <v>430</v>
      </c>
      <c r="C24" s="190"/>
      <c r="D24" s="190"/>
      <c r="E24" s="190"/>
      <c r="F24" s="190"/>
      <c r="G24" s="466"/>
      <c r="H24" s="109"/>
      <c r="I24" s="109"/>
    </row>
    <row r="25" spans="1:9" ht="12.75" customHeight="1">
      <c r="A25" s="191">
        <v>6</v>
      </c>
      <c r="B25" s="192" t="s">
        <v>431</v>
      </c>
      <c r="C25" s="190"/>
      <c r="D25" s="190"/>
      <c r="E25" s="190"/>
      <c r="F25" s="190"/>
      <c r="G25" s="466"/>
      <c r="H25" s="109"/>
      <c r="I25" s="109"/>
    </row>
    <row r="26" spans="1:9" ht="12.75" customHeight="1">
      <c r="A26" s="191">
        <v>20</v>
      </c>
      <c r="B26" s="192" t="s">
        <v>432</v>
      </c>
      <c r="C26" s="190"/>
      <c r="D26" s="190"/>
      <c r="E26" s="190"/>
      <c r="F26" s="190"/>
      <c r="G26" s="466"/>
      <c r="H26" s="109"/>
      <c r="I26" s="109"/>
    </row>
    <row r="27" spans="1:9" ht="12.75" customHeight="1">
      <c r="A27" s="199">
        <f>((A25-4)*(A23/16))</f>
        <v>12.5</v>
      </c>
      <c r="B27" s="192" t="s">
        <v>433</v>
      </c>
      <c r="C27" s="190"/>
      <c r="D27" s="190"/>
      <c r="E27" s="190"/>
      <c r="F27" s="190"/>
      <c r="G27" s="466"/>
      <c r="H27" s="109"/>
      <c r="I27" s="109"/>
    </row>
    <row r="28" spans="1:9" ht="12.75" customHeight="1">
      <c r="A28" s="199">
        <f>(A26-4)*(A24/16)</f>
        <v>300</v>
      </c>
      <c r="B28" s="192" t="s">
        <v>434</v>
      </c>
      <c r="C28" s="190"/>
      <c r="D28" s="190"/>
      <c r="E28" s="190"/>
      <c r="F28" s="190"/>
      <c r="G28" s="466"/>
      <c r="H28" s="109"/>
      <c r="I28" s="109"/>
    </row>
    <row r="29" spans="1:9" ht="12.75" customHeight="1">
      <c r="A29" s="195">
        <f>(A28-A27)/0.433</f>
        <v>663.972286374134</v>
      </c>
      <c r="B29" s="189" t="s">
        <v>426</v>
      </c>
      <c r="C29" s="190"/>
      <c r="D29" s="190"/>
      <c r="E29" s="190"/>
      <c r="F29" s="190"/>
      <c r="G29" s="466"/>
      <c r="H29" s="109"/>
      <c r="I29" s="109"/>
    </row>
    <row r="30" spans="1:9" ht="12.75" customHeight="1">
      <c r="A30" s="197">
        <f>(A28-A27)/0.44</f>
        <v>653.40909090909088</v>
      </c>
      <c r="B30" s="198" t="s">
        <v>427</v>
      </c>
      <c r="C30" s="190"/>
      <c r="D30" s="190"/>
      <c r="E30" s="190"/>
      <c r="F30" s="190"/>
      <c r="G30" s="466"/>
      <c r="H30" s="109"/>
      <c r="I30" s="109"/>
    </row>
    <row r="31" spans="1:9" ht="12.75" customHeight="1">
      <c r="A31" s="200"/>
      <c r="B31" s="190"/>
      <c r="C31" s="190"/>
      <c r="D31" s="190"/>
      <c r="E31" s="190"/>
      <c r="F31" s="190"/>
      <c r="G31" s="466"/>
      <c r="H31" s="109"/>
      <c r="I31" s="109"/>
    </row>
    <row r="32" spans="1:9" ht="12.75" customHeight="1">
      <c r="A32" s="19" t="s">
        <v>435</v>
      </c>
      <c r="B32" s="18"/>
      <c r="C32" s="190"/>
      <c r="D32" s="190"/>
      <c r="E32" s="190"/>
      <c r="F32" s="190"/>
      <c r="G32" s="466"/>
      <c r="H32" s="109"/>
      <c r="I32" s="109"/>
    </row>
    <row r="33" spans="1:9" ht="12.75" customHeight="1">
      <c r="A33" s="190"/>
      <c r="B33" s="190"/>
      <c r="C33" s="190"/>
      <c r="D33" s="190"/>
      <c r="E33" s="190"/>
      <c r="F33" s="190"/>
      <c r="G33" s="466"/>
      <c r="H33" s="109"/>
      <c r="I33" s="109"/>
    </row>
    <row r="34" spans="1:9" ht="12.75" customHeight="1">
      <c r="A34" s="201">
        <v>100</v>
      </c>
      <c r="B34" s="190" t="s">
        <v>436</v>
      </c>
      <c r="C34" s="190"/>
      <c r="D34" s="190"/>
      <c r="E34" s="190"/>
      <c r="F34" s="190"/>
      <c r="G34" s="466"/>
      <c r="H34" s="109"/>
      <c r="I34" s="109"/>
    </row>
    <row r="35" spans="1:9" ht="12.75" customHeight="1">
      <c r="A35" s="201">
        <v>0</v>
      </c>
      <c r="B35" s="190" t="s">
        <v>437</v>
      </c>
      <c r="C35" s="190"/>
      <c r="D35" s="190"/>
      <c r="E35" s="190"/>
      <c r="F35" s="190"/>
      <c r="G35" s="466"/>
      <c r="H35" s="109"/>
      <c r="I35" s="109"/>
    </row>
    <row r="36" spans="1:9" ht="12.75" customHeight="1">
      <c r="A36" s="201">
        <v>20</v>
      </c>
      <c r="B36" s="190" t="s">
        <v>438</v>
      </c>
      <c r="C36" s="190"/>
      <c r="D36" s="190"/>
      <c r="E36" s="190"/>
      <c r="F36" s="190"/>
      <c r="G36" s="466"/>
      <c r="H36" s="109"/>
      <c r="I36" s="109"/>
    </row>
    <row r="37" spans="1:9" ht="12.75" customHeight="1">
      <c r="A37" s="201">
        <v>4</v>
      </c>
      <c r="B37" s="190" t="s">
        <v>439</v>
      </c>
      <c r="C37" s="190"/>
      <c r="D37" s="190"/>
      <c r="E37" s="190"/>
      <c r="F37" s="190"/>
      <c r="G37" s="466"/>
      <c r="H37" s="109"/>
      <c r="I37" s="109"/>
    </row>
    <row r="38" spans="1:9" ht="12.75" customHeight="1">
      <c r="A38" s="201">
        <v>12</v>
      </c>
      <c r="B38" s="190" t="s">
        <v>440</v>
      </c>
      <c r="C38" s="190"/>
      <c r="D38" s="190"/>
      <c r="E38" s="190"/>
      <c r="F38" s="190"/>
      <c r="G38" s="466"/>
      <c r="H38" s="109"/>
      <c r="I38" s="109"/>
    </row>
    <row r="39" spans="1:9" ht="12.75" customHeight="1">
      <c r="A39" s="202">
        <f>(((A34-A35)/(A36-A37))*(A38-A37))+A35</f>
        <v>50</v>
      </c>
      <c r="B39" s="198" t="s">
        <v>441</v>
      </c>
      <c r="C39" s="190"/>
      <c r="D39" s="190"/>
      <c r="E39" s="190"/>
      <c r="F39" s="190"/>
      <c r="G39" s="466"/>
      <c r="H39" s="109"/>
      <c r="I39" s="109"/>
    </row>
    <row r="40" spans="1:9" ht="12.75" customHeight="1">
      <c r="A40" s="200"/>
      <c r="B40" s="190"/>
      <c r="C40" s="190"/>
      <c r="D40" s="190"/>
      <c r="E40" s="190"/>
      <c r="F40" s="190"/>
      <c r="G40" s="466"/>
      <c r="H40" s="109"/>
      <c r="I40" s="109"/>
    </row>
    <row r="41" spans="1:9" ht="12.75" customHeight="1">
      <c r="A41" s="19" t="s">
        <v>444</v>
      </c>
      <c r="B41" s="18"/>
      <c r="C41" s="190"/>
      <c r="D41" s="190"/>
      <c r="E41" s="190"/>
      <c r="F41" s="190"/>
      <c r="G41" s="466"/>
      <c r="H41" s="109"/>
      <c r="I41" s="109"/>
    </row>
    <row r="42" spans="1:9" ht="12.75" customHeight="1">
      <c r="A42" s="190"/>
      <c r="B42" s="190"/>
      <c r="C42" s="190"/>
      <c r="D42" s="190"/>
      <c r="E42" s="198"/>
      <c r="F42" s="198"/>
      <c r="G42" s="467"/>
      <c r="H42" s="468"/>
      <c r="I42" s="468"/>
    </row>
    <row r="43" spans="1:9" ht="12.75" customHeight="1">
      <c r="A43" s="206">
        <v>20</v>
      </c>
      <c r="B43" s="207" t="s">
        <v>445</v>
      </c>
      <c r="C43" s="203" t="s">
        <v>442</v>
      </c>
      <c r="D43" s="203" t="s">
        <v>443</v>
      </c>
      <c r="E43" s="190"/>
      <c r="F43" s="190"/>
      <c r="G43" s="466"/>
      <c r="H43" s="109"/>
      <c r="I43" s="109"/>
    </row>
    <row r="44" spans="1:9" ht="12.75" customHeight="1">
      <c r="A44" s="206">
        <v>12</v>
      </c>
      <c r="B44" s="207" t="s">
        <v>446</v>
      </c>
      <c r="C44" s="204">
        <v>12</v>
      </c>
      <c r="D44" s="205">
        <f t="shared" ref="D44:D55" si="0">C44/12</f>
        <v>1</v>
      </c>
      <c r="E44" s="207"/>
      <c r="F44" s="207"/>
      <c r="G44" s="109"/>
      <c r="H44" s="109"/>
      <c r="I44" s="109"/>
    </row>
    <row r="45" spans="1:9" ht="12.75" customHeight="1">
      <c r="A45" s="208">
        <f>((A44/2)*(A44/2)*3.1416*A43)</f>
        <v>2261.9520000000002</v>
      </c>
      <c r="B45" s="207" t="s">
        <v>447</v>
      </c>
      <c r="C45" s="204">
        <v>11</v>
      </c>
      <c r="D45" s="205">
        <f t="shared" si="0"/>
        <v>0.91666666666666663</v>
      </c>
      <c r="E45" s="207"/>
      <c r="F45" s="207"/>
      <c r="G45" s="109"/>
      <c r="H45" s="109"/>
      <c r="I45" s="109"/>
    </row>
    <row r="46" spans="1:9" ht="12.75" customHeight="1">
      <c r="A46" s="208">
        <f>A45*7.48051948</f>
        <v>16920.575998824963</v>
      </c>
      <c r="B46" s="207" t="s">
        <v>448</v>
      </c>
      <c r="C46" s="204">
        <v>10</v>
      </c>
      <c r="D46" s="205">
        <f t="shared" si="0"/>
        <v>0.83333333333333337</v>
      </c>
      <c r="E46" s="207"/>
      <c r="F46" s="207"/>
      <c r="G46" s="109"/>
      <c r="H46" s="109"/>
      <c r="I46" s="109"/>
    </row>
    <row r="47" spans="1:9" ht="12.75" customHeight="1">
      <c r="A47" s="209">
        <f>A46/42</f>
        <v>402.8708571148801</v>
      </c>
      <c r="B47" s="207" t="s">
        <v>449</v>
      </c>
      <c r="C47" s="204">
        <v>9</v>
      </c>
      <c r="D47" s="205">
        <f t="shared" si="0"/>
        <v>0.75</v>
      </c>
      <c r="E47" s="207"/>
      <c r="F47" s="207"/>
      <c r="G47" s="109"/>
      <c r="H47" s="109"/>
      <c r="I47" s="109" t="s">
        <v>35</v>
      </c>
    </row>
    <row r="48" spans="1:9" ht="12.75" customHeight="1">
      <c r="A48" s="206">
        <v>5</v>
      </c>
      <c r="B48" s="207" t="s">
        <v>450</v>
      </c>
      <c r="C48" s="204">
        <v>8</v>
      </c>
      <c r="D48" s="205">
        <f t="shared" si="0"/>
        <v>0.66666666666666663</v>
      </c>
      <c r="E48" s="207"/>
      <c r="F48" s="207"/>
      <c r="G48" s="109"/>
      <c r="H48" s="109"/>
      <c r="I48" s="109"/>
    </row>
    <row r="49" spans="1:9" ht="12.75" customHeight="1">
      <c r="A49" s="210">
        <f>(A48/A43)*A46</f>
        <v>4230.1439997062407</v>
      </c>
      <c r="B49" s="211" t="s">
        <v>451</v>
      </c>
      <c r="C49" s="204">
        <v>7</v>
      </c>
      <c r="D49" s="205">
        <f t="shared" si="0"/>
        <v>0.58333333333333337</v>
      </c>
      <c r="E49" s="207"/>
      <c r="F49" s="207"/>
      <c r="G49" s="109"/>
      <c r="H49" s="109"/>
      <c r="I49" s="109"/>
    </row>
    <row r="50" spans="1:9" ht="12.75" customHeight="1">
      <c r="A50" s="210">
        <f>(A48/A43)*A47</f>
        <v>100.71771427872002</v>
      </c>
      <c r="B50" s="211" t="s">
        <v>452</v>
      </c>
      <c r="C50" s="204">
        <v>6</v>
      </c>
      <c r="D50" s="205">
        <f t="shared" si="0"/>
        <v>0.5</v>
      </c>
      <c r="E50" s="207"/>
      <c r="F50" s="207"/>
      <c r="G50" s="109"/>
      <c r="H50" s="109"/>
      <c r="I50" s="109"/>
    </row>
    <row r="51" spans="1:9" ht="12.75" customHeight="1">
      <c r="A51" s="207"/>
      <c r="B51" s="207"/>
      <c r="C51" s="204">
        <v>5</v>
      </c>
      <c r="D51" s="205">
        <f t="shared" si="0"/>
        <v>0.41666666666666669</v>
      </c>
      <c r="E51" s="207"/>
      <c r="F51" s="207"/>
      <c r="G51" s="109"/>
      <c r="H51" s="109"/>
      <c r="I51" s="109"/>
    </row>
    <row r="52" spans="1:9" ht="16.149999999999999" customHeight="1">
      <c r="A52" s="211" t="s">
        <v>453</v>
      </c>
      <c r="B52" s="207"/>
      <c r="C52" s="204">
        <v>4</v>
      </c>
      <c r="D52" s="205">
        <f t="shared" si="0"/>
        <v>0.33333333333333331</v>
      </c>
      <c r="E52" s="207"/>
      <c r="F52" s="207"/>
      <c r="G52" s="109"/>
      <c r="H52" s="109"/>
      <c r="I52" s="109"/>
    </row>
    <row r="53" spans="1:9" ht="12.75" customHeight="1">
      <c r="A53" s="207"/>
      <c r="B53" s="207"/>
      <c r="C53" s="204">
        <v>3</v>
      </c>
      <c r="D53" s="205">
        <f t="shared" si="0"/>
        <v>0.25</v>
      </c>
      <c r="E53" s="207"/>
      <c r="F53" s="207"/>
      <c r="G53" s="109"/>
      <c r="H53" s="109"/>
      <c r="I53" s="109"/>
    </row>
    <row r="54" spans="1:9" ht="12.75" customHeight="1">
      <c r="A54" s="206">
        <v>15</v>
      </c>
      <c r="B54" s="207" t="s">
        <v>446</v>
      </c>
      <c r="C54" s="204">
        <v>2</v>
      </c>
      <c r="D54" s="205">
        <f t="shared" si="0"/>
        <v>0.16666666666666666</v>
      </c>
      <c r="E54" s="207"/>
      <c r="F54" s="207"/>
      <c r="G54" s="109"/>
      <c r="H54" s="109"/>
      <c r="I54" s="109"/>
    </row>
    <row r="55" spans="1:9" ht="12.75" customHeight="1">
      <c r="A55" s="212">
        <v>5</v>
      </c>
      <c r="B55" s="207" t="s">
        <v>454</v>
      </c>
      <c r="C55" s="204">
        <v>1</v>
      </c>
      <c r="D55" s="205">
        <f t="shared" si="0"/>
        <v>8.3333333333333329E-2</v>
      </c>
      <c r="E55" s="207"/>
      <c r="F55" s="207"/>
      <c r="G55" s="109"/>
      <c r="H55" s="109"/>
      <c r="I55" s="109"/>
    </row>
    <row r="56" spans="1:9" ht="12.75" customHeight="1">
      <c r="A56" s="212">
        <v>10</v>
      </c>
      <c r="B56" s="207" t="s">
        <v>455</v>
      </c>
      <c r="C56" s="21"/>
      <c r="D56" s="21"/>
      <c r="E56" s="207"/>
      <c r="F56" s="207"/>
      <c r="G56" s="109"/>
      <c r="H56" s="109"/>
      <c r="I56" s="109"/>
    </row>
    <row r="57" spans="1:9" ht="12.75" customHeight="1">
      <c r="A57" s="213">
        <v>30</v>
      </c>
      <c r="B57" s="207" t="s">
        <v>456</v>
      </c>
      <c r="C57" s="21"/>
      <c r="D57" s="21"/>
      <c r="E57" s="207"/>
      <c r="F57" s="207"/>
      <c r="G57" s="109"/>
      <c r="H57" s="109"/>
      <c r="I57" s="109"/>
    </row>
    <row r="58" spans="1:9" ht="12.75" customHeight="1">
      <c r="A58" s="208">
        <f>(((A54/2)*(A54/2)*3.1416)*7.48051948)/42</f>
        <v>31.474285712099999</v>
      </c>
      <c r="B58" s="207" t="s">
        <v>457</v>
      </c>
      <c r="C58" s="21"/>
      <c r="D58" s="21"/>
      <c r="E58" s="207"/>
      <c r="F58" s="207"/>
      <c r="G58" s="109"/>
      <c r="H58" s="109"/>
      <c r="I58" s="109"/>
    </row>
    <row r="59" spans="1:9" ht="12.75" customHeight="1">
      <c r="A59" s="214">
        <f>A58*A55</f>
        <v>157.37142856049999</v>
      </c>
      <c r="B59" s="207" t="s">
        <v>458</v>
      </c>
      <c r="C59" s="207"/>
      <c r="D59" s="207"/>
      <c r="E59" s="207"/>
      <c r="F59" s="207"/>
      <c r="G59" s="109"/>
      <c r="H59" s="109"/>
      <c r="I59" s="109"/>
    </row>
    <row r="60" spans="1:9" ht="12.75" customHeight="1">
      <c r="A60" s="214">
        <f>A58*A56</f>
        <v>314.74285712099999</v>
      </c>
      <c r="B60" s="207" t="s">
        <v>459</v>
      </c>
      <c r="C60" s="207"/>
      <c r="D60" s="207"/>
      <c r="E60" s="207"/>
      <c r="F60" s="207"/>
      <c r="G60" s="109"/>
      <c r="H60" s="109"/>
      <c r="I60" s="109"/>
    </row>
    <row r="61" spans="1:9" ht="12.75" customHeight="1">
      <c r="A61" s="210">
        <f>ABS((A59-A60)/A57)</f>
        <v>5.2457142853500001</v>
      </c>
      <c r="B61" s="211" t="s">
        <v>460</v>
      </c>
      <c r="C61" s="207"/>
      <c r="D61" s="207"/>
      <c r="E61" s="207"/>
      <c r="F61" s="207"/>
      <c r="G61" s="109"/>
      <c r="H61" s="109"/>
      <c r="I61" s="109"/>
    </row>
    <row r="62" spans="1:9" ht="12.75" customHeight="1">
      <c r="A62" s="210">
        <f>ABS(A61*42)</f>
        <v>220.31999998469999</v>
      </c>
      <c r="B62" s="211" t="s">
        <v>461</v>
      </c>
      <c r="C62" s="207"/>
      <c r="D62" s="207"/>
      <c r="E62" s="207"/>
      <c r="F62" s="207"/>
      <c r="G62" s="109"/>
      <c r="H62" s="109"/>
      <c r="I62" s="109"/>
    </row>
    <row r="63" spans="1:9" ht="12.75" customHeight="1">
      <c r="A63" s="109"/>
      <c r="B63" s="109"/>
      <c r="C63" s="207" t="s">
        <v>35</v>
      </c>
      <c r="D63" s="207"/>
      <c r="E63" s="207"/>
      <c r="F63" s="207"/>
      <c r="G63" s="109"/>
      <c r="H63" s="109"/>
      <c r="I63" s="109"/>
    </row>
    <row r="64" spans="1:9" ht="12.75" customHeight="1">
      <c r="A64" s="379" t="s">
        <v>666</v>
      </c>
      <c r="B64" s="109"/>
      <c r="C64" s="207" t="s">
        <v>35</v>
      </c>
      <c r="D64" s="207"/>
      <c r="E64" s="207"/>
      <c r="F64" s="207"/>
      <c r="G64" s="109"/>
      <c r="H64" s="109"/>
      <c r="I64" s="109"/>
    </row>
    <row r="65" spans="1:9" ht="12.75" customHeight="1">
      <c r="A65" s="380" t="s">
        <v>762</v>
      </c>
      <c r="B65" s="109"/>
      <c r="C65" s="207"/>
      <c r="D65" s="207"/>
      <c r="E65" s="109"/>
      <c r="F65" s="109"/>
      <c r="G65" s="109"/>
      <c r="H65" s="109"/>
      <c r="I65" s="109"/>
    </row>
    <row r="66" spans="1:9" ht="12.75" customHeight="1">
      <c r="A66" s="136" t="s">
        <v>763</v>
      </c>
      <c r="B66" s="109"/>
      <c r="C66" s="207"/>
      <c r="D66" s="207"/>
      <c r="E66" s="109"/>
      <c r="F66" s="109"/>
      <c r="G66" s="109"/>
      <c r="H66" s="109"/>
      <c r="I66" s="109"/>
    </row>
    <row r="67" spans="1:9" ht="12.75" customHeight="1">
      <c r="A67" s="379" t="s">
        <v>766</v>
      </c>
      <c r="B67" s="109"/>
      <c r="C67" s="207"/>
      <c r="D67" s="207"/>
      <c r="E67" s="109"/>
      <c r="F67" s="109"/>
      <c r="G67" s="109"/>
      <c r="H67" s="109"/>
      <c r="I67" s="109"/>
    </row>
    <row r="68" spans="1:9" ht="12.75" customHeight="1">
      <c r="A68" s="379" t="s">
        <v>3</v>
      </c>
      <c r="C68" s="207"/>
      <c r="D68" s="207"/>
      <c r="E68" s="109"/>
      <c r="F68" s="109"/>
      <c r="G68" s="109"/>
      <c r="H68" s="109"/>
      <c r="I68" s="109"/>
    </row>
    <row r="69" spans="1:9" ht="12.75" customHeight="1">
      <c r="C69" s="109"/>
      <c r="D69" s="109"/>
      <c r="E69" s="109"/>
      <c r="F69" s="109"/>
      <c r="G69" s="109"/>
      <c r="H69" s="109"/>
      <c r="I69" s="109"/>
    </row>
    <row r="70" spans="1:9" ht="15.75" customHeight="1">
      <c r="C70" s="109"/>
      <c r="D70" s="109"/>
    </row>
    <row r="71" spans="1:9" ht="15.75" customHeight="1">
      <c r="C71" s="109"/>
      <c r="D71" s="109"/>
    </row>
    <row r="72" spans="1:9" ht="15.75" customHeight="1">
      <c r="C72" s="109"/>
      <c r="D72" s="109"/>
    </row>
    <row r="73" spans="1:9" ht="15.75" customHeight="1">
      <c r="C73" s="109"/>
      <c r="D73" s="109"/>
    </row>
  </sheetData>
  <sheetProtection algorithmName="SHA-512" hashValue="zVzqd6cjITTWnUmkAWwEq6RVCgNvrF8r06sPX9o8qDcgCcNL8JQEqiOEEnZ72Z7xzpbWAFSJUw7rR2LnphkgzA==" saltValue="bWuikSqzjy7l6vpEa+xCjg==" spinCount="100000" sheet="1" objects="1" scenarios="1"/>
  <pageMargins left="0.74791666666666701" right="0.74791666666666701" top="0.98402777777777795" bottom="0.98402777777777795" header="0.51180555555555596" footer="0.51180555555555596"/>
  <pageSetup scale="87" firstPageNumber="0" fitToHeight="2" orientation="portrait" horizontalDpi="300" verticalDpi="300" r:id="rId1"/>
  <headerFooter alignWithMargins="0"/>
  <rowBreaks count="1" manualBreakCount="1">
    <brk id="40" max="4"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000"/>
    <pageSetUpPr fitToPage="1"/>
  </sheetPr>
  <dimension ref="A1:HU35"/>
  <sheetViews>
    <sheetView workbookViewId="0">
      <selection activeCell="E31" sqref="E31"/>
    </sheetView>
  </sheetViews>
  <sheetFormatPr defaultColWidth="11.5703125" defaultRowHeight="15.75" customHeight="1"/>
  <cols>
    <col min="1" max="7" width="17.140625" style="785" customWidth="1"/>
    <col min="8" max="229" width="17.28515625" style="785" customWidth="1"/>
    <col min="230" max="16384" width="11.5703125" style="136"/>
  </cols>
  <sheetData>
    <row r="1" spans="1:7" ht="12.75" customHeight="1">
      <c r="A1" s="1279" t="s">
        <v>464</v>
      </c>
      <c r="B1" s="1279"/>
      <c r="C1" s="1279"/>
      <c r="D1" s="1279"/>
      <c r="E1" s="1279"/>
      <c r="F1" s="1279"/>
      <c r="G1" s="1279"/>
    </row>
    <row r="2" spans="1:7" ht="12.75" customHeight="1">
      <c r="A2" s="1279"/>
      <c r="B2" s="1279"/>
      <c r="C2" s="1279"/>
      <c r="D2" s="1279"/>
      <c r="E2" s="1279"/>
      <c r="F2" s="1279"/>
      <c r="G2" s="1279"/>
    </row>
    <row r="3" spans="1:7" ht="12.75" customHeight="1">
      <c r="A3" s="786" t="s">
        <v>465</v>
      </c>
      <c r="B3" s="1277" t="s">
        <v>466</v>
      </c>
      <c r="C3" s="1277"/>
      <c r="D3" s="1277"/>
      <c r="E3" s="1278" t="s">
        <v>467</v>
      </c>
      <c r="F3" s="1278"/>
      <c r="G3" s="1278"/>
    </row>
    <row r="4" spans="1:7" ht="25.5" customHeight="1">
      <c r="A4" s="786" t="s">
        <v>470</v>
      </c>
      <c r="B4" s="787" t="s">
        <v>471</v>
      </c>
      <c r="C4" s="787" t="s">
        <v>472</v>
      </c>
      <c r="D4" s="787" t="s">
        <v>473</v>
      </c>
      <c r="E4" s="788" t="s">
        <v>471</v>
      </c>
      <c r="F4" s="788" t="s">
        <v>472</v>
      </c>
      <c r="G4" s="788" t="s">
        <v>473</v>
      </c>
    </row>
    <row r="5" spans="1:7" ht="12.75" customHeight="1">
      <c r="A5" s="788">
        <v>0</v>
      </c>
      <c r="B5" s="787" t="s">
        <v>474</v>
      </c>
      <c r="C5" s="787" t="s">
        <v>474</v>
      </c>
      <c r="D5" s="787">
        <v>2</v>
      </c>
      <c r="E5" s="788" t="s">
        <v>475</v>
      </c>
      <c r="F5" s="788" t="s">
        <v>475</v>
      </c>
      <c r="G5" s="788" t="s">
        <v>475</v>
      </c>
    </row>
    <row r="6" spans="1:7" ht="12.75" customHeight="1">
      <c r="A6" s="788">
        <v>0</v>
      </c>
      <c r="B6" s="787">
        <v>3</v>
      </c>
      <c r="C6" s="787">
        <v>3</v>
      </c>
      <c r="D6" s="787">
        <v>5</v>
      </c>
      <c r="E6" s="788" t="s">
        <v>475</v>
      </c>
      <c r="F6" s="788" t="s">
        <v>475</v>
      </c>
      <c r="G6" s="788" t="s">
        <v>475</v>
      </c>
    </row>
    <row r="7" spans="1:7" ht="12.75" customHeight="1">
      <c r="A7" s="788">
        <v>1</v>
      </c>
      <c r="B7" s="787" t="s">
        <v>476</v>
      </c>
      <c r="C7" s="787" t="s">
        <v>476</v>
      </c>
      <c r="D7" s="787">
        <v>10</v>
      </c>
      <c r="E7" s="788" t="s">
        <v>476</v>
      </c>
      <c r="F7" s="788" t="s">
        <v>476</v>
      </c>
      <c r="G7" s="788">
        <v>10</v>
      </c>
    </row>
    <row r="8" spans="1:7" ht="12.75" customHeight="1">
      <c r="A8" s="788">
        <v>2</v>
      </c>
      <c r="B8" s="787">
        <v>10</v>
      </c>
      <c r="C8" s="787">
        <v>15</v>
      </c>
      <c r="D8" s="787">
        <v>25</v>
      </c>
      <c r="E8" s="788">
        <v>10</v>
      </c>
      <c r="F8" s="788">
        <v>15</v>
      </c>
      <c r="G8" s="788">
        <v>25</v>
      </c>
    </row>
    <row r="9" spans="1:7" ht="12.75" customHeight="1">
      <c r="A9" s="788">
        <v>3</v>
      </c>
      <c r="B9" s="787">
        <v>25</v>
      </c>
      <c r="C9" s="787">
        <v>30</v>
      </c>
      <c r="D9" s="787">
        <v>50</v>
      </c>
      <c r="E9" s="788">
        <v>25</v>
      </c>
      <c r="F9" s="788">
        <v>30</v>
      </c>
      <c r="G9" s="788">
        <v>50</v>
      </c>
    </row>
    <row r="10" spans="1:7" ht="12.75" customHeight="1">
      <c r="A10" s="788">
        <v>4</v>
      </c>
      <c r="B10" s="787">
        <v>40</v>
      </c>
      <c r="C10" s="787">
        <v>50</v>
      </c>
      <c r="D10" s="787">
        <v>100</v>
      </c>
      <c r="E10" s="788">
        <v>40</v>
      </c>
      <c r="F10" s="788">
        <v>50</v>
      </c>
      <c r="G10" s="788">
        <v>100</v>
      </c>
    </row>
    <row r="11" spans="1:7" ht="12.75" customHeight="1">
      <c r="A11" s="788">
        <v>5</v>
      </c>
      <c r="B11" s="787">
        <v>75</v>
      </c>
      <c r="C11" s="787">
        <v>100</v>
      </c>
      <c r="D11" s="787">
        <v>200</v>
      </c>
      <c r="E11" s="788">
        <v>75</v>
      </c>
      <c r="F11" s="788">
        <v>100</v>
      </c>
      <c r="G11" s="788">
        <v>200</v>
      </c>
    </row>
    <row r="12" spans="1:7" ht="12.75" customHeight="1">
      <c r="A12" s="788">
        <v>6</v>
      </c>
      <c r="B12" s="787">
        <v>150</v>
      </c>
      <c r="C12" s="787">
        <v>200</v>
      </c>
      <c r="D12" s="787">
        <v>400</v>
      </c>
      <c r="E12" s="788">
        <v>150</v>
      </c>
      <c r="F12" s="788">
        <v>200</v>
      </c>
      <c r="G12" s="788">
        <v>400</v>
      </c>
    </row>
    <row r="13" spans="1:7" ht="12.75" customHeight="1">
      <c r="A13" s="788">
        <v>7</v>
      </c>
      <c r="B13" s="787" t="s">
        <v>475</v>
      </c>
      <c r="C13" s="787">
        <v>300</v>
      </c>
      <c r="D13" s="787">
        <v>600</v>
      </c>
      <c r="E13" s="788" t="s">
        <v>475</v>
      </c>
      <c r="F13" s="788">
        <v>300</v>
      </c>
      <c r="G13" s="788">
        <v>600</v>
      </c>
    </row>
    <row r="14" spans="1:7" ht="12.75" customHeight="1">
      <c r="A14" s="788">
        <v>8</v>
      </c>
      <c r="B14" s="787" t="s">
        <v>475</v>
      </c>
      <c r="C14" s="787">
        <v>450</v>
      </c>
      <c r="D14" s="787">
        <v>900</v>
      </c>
      <c r="E14" s="788" t="s">
        <v>475</v>
      </c>
      <c r="F14" s="788">
        <v>450</v>
      </c>
      <c r="G14" s="788">
        <v>900</v>
      </c>
    </row>
    <row r="15" spans="1:7" ht="12.75" customHeight="1">
      <c r="A15" s="788">
        <v>9</v>
      </c>
      <c r="B15" s="787" t="s">
        <v>475</v>
      </c>
      <c r="C15" s="787">
        <v>800</v>
      </c>
      <c r="D15" s="787">
        <v>1600</v>
      </c>
      <c r="E15" s="788" t="s">
        <v>475</v>
      </c>
      <c r="F15" s="788">
        <v>800</v>
      </c>
      <c r="G15" s="788">
        <v>1600</v>
      </c>
    </row>
    <row r="16" spans="1:7" ht="12.75" customHeight="1">
      <c r="A16" s="107"/>
      <c r="B16" s="107"/>
      <c r="C16" s="107"/>
      <c r="D16" s="107"/>
      <c r="E16" s="107"/>
      <c r="F16" s="107"/>
      <c r="G16" s="107"/>
    </row>
    <row r="17" spans="1:7" ht="12.75" customHeight="1">
      <c r="A17" s="786" t="s">
        <v>465</v>
      </c>
      <c r="B17" s="1277" t="s">
        <v>468</v>
      </c>
      <c r="C17" s="1277"/>
      <c r="D17" s="1277"/>
      <c r="E17" s="1278" t="s">
        <v>469</v>
      </c>
      <c r="F17" s="1278"/>
      <c r="G17" s="1278"/>
    </row>
    <row r="18" spans="1:7" ht="12.75" customHeight="1">
      <c r="A18" s="786" t="s">
        <v>470</v>
      </c>
      <c r="B18" s="787" t="s">
        <v>471</v>
      </c>
      <c r="C18" s="787" t="s">
        <v>472</v>
      </c>
      <c r="D18" s="787" t="s">
        <v>473</v>
      </c>
      <c r="E18" s="788" t="s">
        <v>471</v>
      </c>
      <c r="F18" s="788" t="s">
        <v>472</v>
      </c>
      <c r="G18" s="788" t="s">
        <v>473</v>
      </c>
    </row>
    <row r="19" spans="1:7" ht="12.75" customHeight="1">
      <c r="A19" s="788">
        <v>0</v>
      </c>
      <c r="B19" s="787" t="s">
        <v>475</v>
      </c>
      <c r="C19" s="787" t="s">
        <v>475</v>
      </c>
      <c r="D19" s="787" t="s">
        <v>475</v>
      </c>
      <c r="E19" s="788" t="s">
        <v>475</v>
      </c>
      <c r="F19" s="788" t="s">
        <v>475</v>
      </c>
      <c r="G19" s="788" t="s">
        <v>475</v>
      </c>
    </row>
    <row r="20" spans="1:7" ht="12.75" customHeight="1">
      <c r="A20" s="788">
        <v>0</v>
      </c>
      <c r="B20" s="787" t="s">
        <v>475</v>
      </c>
      <c r="C20" s="787" t="s">
        <v>475</v>
      </c>
      <c r="D20" s="787" t="s">
        <v>475</v>
      </c>
      <c r="E20" s="788" t="s">
        <v>475</v>
      </c>
      <c r="F20" s="788" t="s">
        <v>475</v>
      </c>
      <c r="G20" s="788" t="s">
        <v>475</v>
      </c>
    </row>
    <row r="21" spans="1:7" ht="15.75" customHeight="1">
      <c r="A21" s="788">
        <v>1</v>
      </c>
      <c r="B21" s="787">
        <v>10</v>
      </c>
      <c r="C21" s="787">
        <v>10</v>
      </c>
      <c r="D21" s="787">
        <v>15</v>
      </c>
      <c r="E21" s="788">
        <v>10</v>
      </c>
      <c r="F21" s="788">
        <v>10</v>
      </c>
      <c r="G21" s="788">
        <v>15</v>
      </c>
    </row>
    <row r="22" spans="1:7" ht="15.75" customHeight="1">
      <c r="A22" s="788">
        <v>2</v>
      </c>
      <c r="B22" s="787">
        <v>20</v>
      </c>
      <c r="C22" s="787">
        <v>25</v>
      </c>
      <c r="D22" s="787">
        <v>40</v>
      </c>
      <c r="E22" s="788">
        <v>20</v>
      </c>
      <c r="F22" s="788">
        <v>25</v>
      </c>
      <c r="G22" s="788">
        <v>40</v>
      </c>
    </row>
    <row r="23" spans="1:7" ht="15.75" customHeight="1">
      <c r="A23" s="788">
        <v>3</v>
      </c>
      <c r="B23" s="787">
        <v>40</v>
      </c>
      <c r="C23" s="787">
        <v>50</v>
      </c>
      <c r="D23" s="787">
        <v>75</v>
      </c>
      <c r="E23" s="788">
        <v>40</v>
      </c>
      <c r="F23" s="788">
        <v>50</v>
      </c>
      <c r="G23" s="788">
        <v>75</v>
      </c>
    </row>
    <row r="24" spans="1:7" ht="15.75" customHeight="1">
      <c r="A24" s="788">
        <v>4</v>
      </c>
      <c r="B24" s="787">
        <v>75</v>
      </c>
      <c r="C24" s="787">
        <v>75</v>
      </c>
      <c r="D24" s="787">
        <v>150</v>
      </c>
      <c r="E24" s="788">
        <v>60</v>
      </c>
      <c r="F24" s="788">
        <v>75</v>
      </c>
      <c r="G24" s="788">
        <v>150</v>
      </c>
    </row>
    <row r="25" spans="1:7" ht="15.75" customHeight="1">
      <c r="A25" s="788">
        <v>5</v>
      </c>
      <c r="B25" s="787">
        <v>150</v>
      </c>
      <c r="C25" s="787">
        <v>150</v>
      </c>
      <c r="D25" s="787">
        <v>350</v>
      </c>
      <c r="E25" s="788">
        <v>150</v>
      </c>
      <c r="F25" s="788">
        <v>150</v>
      </c>
      <c r="G25" s="788">
        <v>300</v>
      </c>
    </row>
    <row r="26" spans="1:7" ht="15.75" customHeight="1">
      <c r="A26" s="788">
        <v>6</v>
      </c>
      <c r="B26" s="787" t="s">
        <v>475</v>
      </c>
      <c r="C26" s="787">
        <v>300</v>
      </c>
      <c r="D26" s="787">
        <v>600</v>
      </c>
      <c r="E26" s="788">
        <v>300</v>
      </c>
      <c r="F26" s="788">
        <v>350</v>
      </c>
      <c r="G26" s="788">
        <v>700</v>
      </c>
    </row>
    <row r="27" spans="1:7" ht="15.75" customHeight="1">
      <c r="A27" s="788">
        <v>7</v>
      </c>
      <c r="B27" s="787" t="s">
        <v>475</v>
      </c>
      <c r="C27" s="787">
        <v>450</v>
      </c>
      <c r="D27" s="787">
        <v>900</v>
      </c>
      <c r="E27" s="788">
        <v>500</v>
      </c>
      <c r="F27" s="788">
        <v>500</v>
      </c>
      <c r="G27" s="788">
        <v>1000</v>
      </c>
    </row>
    <row r="28" spans="1:7" ht="15.75" customHeight="1">
      <c r="A28" s="788">
        <v>8</v>
      </c>
      <c r="B28" s="787" t="s">
        <v>475</v>
      </c>
      <c r="C28" s="787">
        <v>700</v>
      </c>
      <c r="D28" s="787">
        <v>1400</v>
      </c>
      <c r="E28" s="788">
        <v>750</v>
      </c>
      <c r="F28" s="788">
        <v>800</v>
      </c>
      <c r="G28" s="788">
        <v>1500</v>
      </c>
    </row>
    <row r="29" spans="1:7" ht="15.75" customHeight="1">
      <c r="A29" s="788">
        <v>9</v>
      </c>
      <c r="B29" s="787" t="s">
        <v>475</v>
      </c>
      <c r="C29" s="787">
        <v>1300</v>
      </c>
      <c r="D29" s="787">
        <v>2600</v>
      </c>
      <c r="E29" s="788">
        <v>1500</v>
      </c>
      <c r="F29" s="788">
        <v>1500</v>
      </c>
      <c r="G29" s="788">
        <v>3000</v>
      </c>
    </row>
    <row r="31" spans="1:7" ht="15.75" customHeight="1">
      <c r="A31" s="379" t="s">
        <v>666</v>
      </c>
    </row>
    <row r="32" spans="1:7" ht="15.75" customHeight="1">
      <c r="A32" s="380" t="s">
        <v>762</v>
      </c>
    </row>
    <row r="33" spans="1:1" ht="15.75" customHeight="1">
      <c r="A33" s="136" t="s">
        <v>763</v>
      </c>
    </row>
    <row r="34" spans="1:1" ht="15.75" customHeight="1">
      <c r="A34" s="379" t="s">
        <v>766</v>
      </c>
    </row>
    <row r="35" spans="1:1" ht="15.75" customHeight="1">
      <c r="A35" s="379" t="s">
        <v>3</v>
      </c>
    </row>
  </sheetData>
  <sheetProtection algorithmName="SHA-512" hashValue="0o8Gmwg32yyjHTGJgkTM8Nn+Zs+ennfqajB3tRcUTd6uk46hbo8NyhH6CeYRsRYlxVbR1OFNyCsGKpwpVDid8A==" saltValue="V5JqW2wZjrVhNK0xllIHjw==" spinCount="100000" sheet="1" objects="1" scenarios="1" selectLockedCells="1" selectUnlockedCells="1"/>
  <mergeCells count="5">
    <mergeCell ref="B3:D3"/>
    <mergeCell ref="E3:G3"/>
    <mergeCell ref="B17:D17"/>
    <mergeCell ref="E17:G17"/>
    <mergeCell ref="A1:G2"/>
  </mergeCells>
  <pageMargins left="0.74791666666666667" right="0.74791666666666667" top="0.98402777777777772" bottom="0.98402777777777772" header="0.51180555555555551" footer="0.51180555555555551"/>
  <pageSetup scale="95" firstPageNumber="0"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C000"/>
    <pageSetUpPr fitToPage="1"/>
  </sheetPr>
  <dimension ref="A1:E26"/>
  <sheetViews>
    <sheetView workbookViewId="0">
      <selection activeCell="H34" sqref="H34"/>
    </sheetView>
  </sheetViews>
  <sheetFormatPr defaultColWidth="17.28515625" defaultRowHeight="15.75" customHeight="1"/>
  <cols>
    <col min="1" max="1" width="14.28515625" style="251" customWidth="1"/>
    <col min="2" max="2" width="11.5703125" style="251" bestFit="1" customWidth="1"/>
    <col min="3" max="3" width="7.85546875" style="251" bestFit="1" customWidth="1"/>
    <col min="4" max="4" width="8.7109375" style="251" customWidth="1"/>
    <col min="5" max="5" width="16.140625" style="251" bestFit="1" customWidth="1"/>
    <col min="6" max="16384" width="17.28515625" style="251"/>
  </cols>
  <sheetData>
    <row r="1" spans="1:5" ht="12.75" customHeight="1">
      <c r="A1" s="252" t="s">
        <v>381</v>
      </c>
      <c r="B1" s="253"/>
      <c r="C1" s="253"/>
      <c r="D1" s="253"/>
      <c r="E1" s="253"/>
    </row>
    <row r="2" spans="1:5" ht="12.75" customHeight="1">
      <c r="A2" s="253"/>
      <c r="B2" s="253"/>
      <c r="C2" s="253"/>
      <c r="D2" s="253"/>
      <c r="E2" s="253"/>
    </row>
    <row r="3" spans="1:5" ht="12.75" customHeight="1">
      <c r="A3" s="254" t="s">
        <v>670</v>
      </c>
      <c r="B3" s="254" t="s">
        <v>382</v>
      </c>
      <c r="C3" s="253"/>
      <c r="D3" s="253"/>
      <c r="E3" s="253"/>
    </row>
    <row r="4" spans="1:5" ht="12.75" customHeight="1">
      <c r="A4" s="463">
        <v>15</v>
      </c>
      <c r="B4" s="262">
        <f t="shared" ref="B4:B9" si="0">A4*2.31</f>
        <v>34.65</v>
      </c>
      <c r="C4" s="253"/>
      <c r="D4" s="253"/>
      <c r="E4" s="253"/>
    </row>
    <row r="5" spans="1:5" ht="12.75" customHeight="1">
      <c r="A5" s="463">
        <v>100</v>
      </c>
      <c r="B5" s="262">
        <f t="shared" si="0"/>
        <v>231</v>
      </c>
      <c r="C5" s="253"/>
      <c r="D5" s="253"/>
      <c r="E5" s="253"/>
    </row>
    <row r="6" spans="1:5" ht="12.75" customHeight="1">
      <c r="A6" s="463">
        <v>250</v>
      </c>
      <c r="B6" s="262">
        <f t="shared" si="0"/>
        <v>577.5</v>
      </c>
      <c r="C6" s="253"/>
      <c r="D6" s="253"/>
      <c r="E6" s="253"/>
    </row>
    <row r="7" spans="1:5" ht="12.75" customHeight="1">
      <c r="A7" s="463">
        <v>350</v>
      </c>
      <c r="B7" s="262">
        <f t="shared" si="0"/>
        <v>808.5</v>
      </c>
      <c r="C7" s="253"/>
      <c r="D7" s="253"/>
      <c r="E7" s="253"/>
    </row>
    <row r="8" spans="1:5" ht="12.75" customHeight="1">
      <c r="A8" s="463">
        <v>500</v>
      </c>
      <c r="B8" s="262">
        <f t="shared" si="0"/>
        <v>1155</v>
      </c>
      <c r="C8" s="253"/>
      <c r="D8" s="253"/>
      <c r="E8" s="253"/>
    </row>
    <row r="9" spans="1:5" ht="12.75" customHeight="1">
      <c r="A9" s="463">
        <v>1000</v>
      </c>
      <c r="B9" s="262">
        <f t="shared" si="0"/>
        <v>2310</v>
      </c>
      <c r="C9" s="253"/>
      <c r="D9" s="253"/>
      <c r="E9" s="253"/>
    </row>
    <row r="10" spans="1:5" ht="12.75" customHeight="1">
      <c r="A10" s="253"/>
      <c r="B10" s="256"/>
      <c r="C10" s="253"/>
      <c r="D10" s="253"/>
      <c r="E10" s="253"/>
    </row>
    <row r="11" spans="1:5" ht="12.75" customHeight="1">
      <c r="A11" s="464">
        <v>12</v>
      </c>
      <c r="B11" s="254" t="s">
        <v>383</v>
      </c>
      <c r="C11" s="253"/>
      <c r="D11" s="253"/>
    </row>
    <row r="12" spans="1:5" ht="12.75" customHeight="1">
      <c r="A12" s="464">
        <v>250</v>
      </c>
      <c r="B12" s="254" t="s">
        <v>384</v>
      </c>
      <c r="C12" s="253"/>
      <c r="D12" s="253"/>
    </row>
    <row r="13" spans="1:5" ht="12.75" customHeight="1">
      <c r="A13" s="261">
        <f>(A12/16)*(A11-4)</f>
        <v>125</v>
      </c>
      <c r="B13" s="252" t="s">
        <v>347</v>
      </c>
      <c r="C13" s="253"/>
      <c r="D13" s="253"/>
    </row>
    <row r="14" spans="1:5" ht="12.75" customHeight="1">
      <c r="A14" s="261">
        <f>A13*2.31</f>
        <v>288.75</v>
      </c>
      <c r="B14" s="252" t="s">
        <v>43</v>
      </c>
      <c r="C14" s="253"/>
      <c r="D14" s="253"/>
    </row>
    <row r="15" spans="1:5" ht="12.75" customHeight="1">
      <c r="A15" s="262">
        <f>A12/16</f>
        <v>15.625</v>
      </c>
      <c r="B15" s="254" t="s">
        <v>385</v>
      </c>
      <c r="C15" s="253"/>
      <c r="D15" s="253"/>
    </row>
    <row r="16" spans="1:5" ht="12.75" customHeight="1">
      <c r="A16" s="256"/>
      <c r="B16" s="253"/>
      <c r="C16" s="253"/>
      <c r="D16" s="253"/>
    </row>
    <row r="17" spans="1:5" ht="12.75" customHeight="1">
      <c r="A17" s="253"/>
      <c r="B17" s="257"/>
      <c r="C17" s="253"/>
      <c r="D17" s="253"/>
      <c r="E17" s="253"/>
    </row>
    <row r="18" spans="1:5" ht="12.75" customHeight="1">
      <c r="A18" s="258" t="s">
        <v>386</v>
      </c>
      <c r="B18" s="259">
        <v>100</v>
      </c>
      <c r="C18" s="260"/>
      <c r="D18" s="253"/>
      <c r="E18" s="253"/>
    </row>
    <row r="19" spans="1:5" ht="12.75" customHeight="1">
      <c r="A19" s="258" t="s">
        <v>387</v>
      </c>
      <c r="B19" s="259">
        <v>50</v>
      </c>
      <c r="C19" s="260" t="s">
        <v>672</v>
      </c>
      <c r="D19" s="253"/>
      <c r="E19" s="253"/>
    </row>
    <row r="20" spans="1:5" ht="12.75" customHeight="1">
      <c r="A20" s="253"/>
      <c r="B20" s="263">
        <f>B18-B19</f>
        <v>50</v>
      </c>
      <c r="C20" s="264" t="s">
        <v>671</v>
      </c>
      <c r="D20" s="261">
        <f>B20*2.31</f>
        <v>115.5</v>
      </c>
      <c r="E20" s="252" t="s">
        <v>389</v>
      </c>
    </row>
    <row r="21" spans="1:5" ht="12.75" customHeight="1">
      <c r="A21" s="253"/>
      <c r="B21" s="253"/>
      <c r="C21" s="253"/>
      <c r="D21" s="253"/>
      <c r="E21" s="253"/>
    </row>
    <row r="22" spans="1:5" ht="12.75" customHeight="1">
      <c r="A22" s="379" t="s">
        <v>666</v>
      </c>
      <c r="B22" s="387"/>
      <c r="C22" s="387"/>
      <c r="D22" s="387"/>
      <c r="E22" s="387"/>
    </row>
    <row r="23" spans="1:5" ht="12.75" customHeight="1">
      <c r="A23" s="380" t="s">
        <v>762</v>
      </c>
      <c r="B23" s="387"/>
      <c r="C23" s="387"/>
      <c r="D23" s="387"/>
      <c r="E23" s="387"/>
    </row>
    <row r="24" spans="1:5" ht="15.75" customHeight="1">
      <c r="A24" s="136" t="s">
        <v>763</v>
      </c>
      <c r="B24" s="387"/>
      <c r="C24" s="387"/>
      <c r="D24" s="387"/>
      <c r="E24" s="387"/>
    </row>
    <row r="25" spans="1:5" ht="15.75" customHeight="1">
      <c r="A25" s="379" t="s">
        <v>766</v>
      </c>
    </row>
    <row r="26" spans="1:5" ht="15.75" customHeight="1">
      <c r="A26" s="379" t="s">
        <v>3</v>
      </c>
    </row>
  </sheetData>
  <sheetProtection algorithmName="SHA-512" hashValue="DT5v8V1zJztTfe8lkwspvOsfKI7tQ5QlIBKNZ5mmX2atHGRS+isxJFJAXYgU/lCDDvVKezKRTOMtlJ0DBe3uUw==" saltValue="ipf7l4yA3OAuyyyTvhQooA==" spinCount="100000" sheet="1" objects="1" scenarios="1"/>
  <pageMargins left="0.74791666666666701" right="0.74791666666666701" top="0.98402777777777795" bottom="0.98402777777777795" header="0.51180555555555596" footer="0.51180555555555596"/>
  <pageSetup firstPageNumber="0" orientation="portrait"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C000"/>
    <pageSetUpPr fitToPage="1"/>
  </sheetPr>
  <dimension ref="A2:C16"/>
  <sheetViews>
    <sheetView workbookViewId="0">
      <selection activeCell="I10" sqref="I10"/>
    </sheetView>
  </sheetViews>
  <sheetFormatPr defaultColWidth="9.140625" defaultRowHeight="12.75"/>
  <cols>
    <col min="1" max="16384" width="9.140625" style="21"/>
  </cols>
  <sheetData>
    <row r="2" spans="1:3">
      <c r="A2" s="21" t="s">
        <v>538</v>
      </c>
      <c r="B2" s="812">
        <v>0</v>
      </c>
    </row>
    <row r="3" spans="1:3">
      <c r="A3" s="21" t="s">
        <v>539</v>
      </c>
      <c r="B3" s="812">
        <v>20</v>
      </c>
    </row>
    <row r="5" spans="1:3">
      <c r="A5" s="21" t="s">
        <v>540</v>
      </c>
      <c r="B5" s="812">
        <v>0</v>
      </c>
    </row>
    <row r="6" spans="1:3">
      <c r="A6" s="21" t="s">
        <v>541</v>
      </c>
      <c r="B6" s="812">
        <v>10</v>
      </c>
    </row>
    <row r="8" spans="1:3">
      <c r="A8" s="810" t="s">
        <v>542</v>
      </c>
      <c r="B8" s="810"/>
      <c r="C8" s="811">
        <f>(B6-B5)/(B3-B2)</f>
        <v>0.5</v>
      </c>
    </row>
    <row r="9" spans="1:3">
      <c r="A9" s="810"/>
      <c r="B9" s="810"/>
      <c r="C9" s="811"/>
    </row>
    <row r="10" spans="1:3">
      <c r="A10" s="810" t="s">
        <v>543</v>
      </c>
      <c r="B10" s="810"/>
      <c r="C10" s="811">
        <f>B5-(C8*B2)</f>
        <v>0</v>
      </c>
    </row>
    <row r="11" spans="1:3">
      <c r="A11" s="810"/>
      <c r="B11" s="810"/>
      <c r="C11" s="810"/>
    </row>
    <row r="12" spans="1:3">
      <c r="A12" s="379" t="s">
        <v>666</v>
      </c>
    </row>
    <row r="13" spans="1:3">
      <c r="A13" s="380" t="s">
        <v>762</v>
      </c>
    </row>
    <row r="14" spans="1:3">
      <c r="A14" s="136" t="s">
        <v>763</v>
      </c>
    </row>
    <row r="15" spans="1:3">
      <c r="A15" s="379" t="s">
        <v>766</v>
      </c>
    </row>
    <row r="16" spans="1:3">
      <c r="A16" s="379" t="s">
        <v>3</v>
      </c>
    </row>
  </sheetData>
  <sheetProtection algorithmName="SHA-512" hashValue="tX9cpfUbyPdAi+wAOe2p8TJn0LZ9rr13+hEJtQTZ+qVETZAvjZdnnOSs3zho6sw9eAbB+8YftymNy0czqsKPcw==" saltValue="CkBPc8ErbMumNuDIzztleA==" spinCount="100000" sheet="1" objects="1" scenarios="1"/>
  <hyperlinks>
    <hyperlink ref="A13" r:id="rId1" display="wyomingelectrician@gmail.com" xr:uid="{00000000-0004-0000-1700-000000000000}"/>
  </hyperlinks>
  <pageMargins left="0.78749999999999998" right="0.78749999999999998" top="0.78749999999999998" bottom="0.78749999999999998" header="0.51180555555555551" footer="0.51180555555555551"/>
  <pageSetup firstPageNumber="0" orientation="landscape" horizontalDpi="300" verticalDpi="300" r:id="rId2"/>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000"/>
    <pageSetUpPr fitToPage="1"/>
  </sheetPr>
  <dimension ref="A1:E11"/>
  <sheetViews>
    <sheetView workbookViewId="0">
      <selection activeCell="E11" sqref="E11"/>
    </sheetView>
  </sheetViews>
  <sheetFormatPr defaultColWidth="11.5703125" defaultRowHeight="15.75"/>
  <cols>
    <col min="1" max="6" width="17.5703125" style="228" customWidth="1"/>
    <col min="7" max="16384" width="11.5703125" style="228"/>
  </cols>
  <sheetData>
    <row r="1" spans="1:5" s="224" customFormat="1">
      <c r="A1" s="890">
        <v>168</v>
      </c>
      <c r="B1" s="890">
        <v>168</v>
      </c>
      <c r="C1" s="890">
        <v>168</v>
      </c>
      <c r="D1" s="890">
        <v>168</v>
      </c>
      <c r="E1" s="898" t="s">
        <v>544</v>
      </c>
    </row>
    <row r="2" spans="1:5" s="225" customFormat="1">
      <c r="A2" s="891">
        <v>25</v>
      </c>
      <c r="B2" s="892">
        <f>100-((1/(B5/B1))*100)</f>
        <v>20</v>
      </c>
      <c r="C2" s="892">
        <f>100-((1/(C5/C1))*100)</f>
        <v>20</v>
      </c>
      <c r="D2" s="892">
        <f>100-((1/(D5/D1))*100)</f>
        <v>25.333333333333329</v>
      </c>
      <c r="E2" s="899" t="s">
        <v>545</v>
      </c>
    </row>
    <row r="3" spans="1:5" s="226" customFormat="1">
      <c r="A3" s="893">
        <f>A5/A1</f>
        <v>1.3333333333333333</v>
      </c>
      <c r="B3" s="894">
        <v>1.25</v>
      </c>
      <c r="C3" s="893">
        <f>C5/C1</f>
        <v>1.25</v>
      </c>
      <c r="D3" s="893">
        <f>D5/D1</f>
        <v>1.3392857142857142</v>
      </c>
      <c r="E3" s="900" t="s">
        <v>546</v>
      </c>
    </row>
    <row r="4" spans="1:5" s="227" customFormat="1">
      <c r="A4" s="895">
        <f>A1/A5</f>
        <v>0.75</v>
      </c>
      <c r="B4" s="895">
        <f>B1/B5</f>
        <v>0.8</v>
      </c>
      <c r="C4" s="896">
        <v>0.8</v>
      </c>
      <c r="D4" s="895">
        <f>D1/D5</f>
        <v>0.7466666666666667</v>
      </c>
      <c r="E4" s="901" t="s">
        <v>547</v>
      </c>
    </row>
    <row r="5" spans="1:5" s="224" customFormat="1">
      <c r="A5" s="897">
        <f>A1/((100-A2)/100)</f>
        <v>224</v>
      </c>
      <c r="B5" s="897">
        <f>B1*B3</f>
        <v>210</v>
      </c>
      <c r="C5" s="897">
        <f>C1/C4</f>
        <v>210</v>
      </c>
      <c r="D5" s="890">
        <v>225</v>
      </c>
      <c r="E5" s="898" t="s">
        <v>548</v>
      </c>
    </row>
    <row r="7" spans="1:5">
      <c r="A7" s="379" t="s">
        <v>666</v>
      </c>
    </row>
    <row r="8" spans="1:5">
      <c r="A8" s="380" t="s">
        <v>762</v>
      </c>
    </row>
    <row r="9" spans="1:5">
      <c r="A9" s="136" t="s">
        <v>763</v>
      </c>
    </row>
    <row r="10" spans="1:5">
      <c r="A10" s="379" t="s">
        <v>766</v>
      </c>
    </row>
    <row r="11" spans="1:5">
      <c r="A11" s="379" t="s">
        <v>3</v>
      </c>
    </row>
  </sheetData>
  <sheetProtection algorithmName="SHA-512" hashValue="gM3v/8xd93htCpzLEJlEEjBxlFlePrPjcyBpR7zYGJ+C/SSa9TDCd31knYg6Lr4Pk9eDu6aQguUhAqGLhgJuuw==" saltValue="glrGq3ttWanQ1ChHes0E/g==" spinCount="100000" sheet="1" objects="1" scenarios="1"/>
  <hyperlinks>
    <hyperlink ref="A8" r:id="rId1" display="wyomingelectrician@gmail.com" xr:uid="{00000000-0004-0000-1800-000000000000}"/>
  </hyperlinks>
  <pageMargins left="0.78749999999999998" right="0.78749999999999998" top="0.78749999999999998" bottom="0.78749999999999998" header="0.51180555555555551" footer="0.51180555555555551"/>
  <pageSetup firstPageNumber="0" orientation="landscape" horizontalDpi="300" verticalDpi="300" r:id="rId2"/>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000"/>
    <pageSetUpPr fitToPage="1"/>
  </sheetPr>
  <dimension ref="A1:E50"/>
  <sheetViews>
    <sheetView workbookViewId="0">
      <selection activeCell="I10" sqref="I10"/>
    </sheetView>
  </sheetViews>
  <sheetFormatPr defaultColWidth="11.5703125" defaultRowHeight="12.75"/>
  <cols>
    <col min="1" max="1" width="13.140625" customWidth="1"/>
    <col min="2" max="2" width="13.28515625" customWidth="1"/>
  </cols>
  <sheetData>
    <row r="1" spans="1:5">
      <c r="A1" s="1" t="s">
        <v>592</v>
      </c>
    </row>
    <row r="3" spans="1:5" s="1" customFormat="1">
      <c r="A3" s="1" t="s">
        <v>593</v>
      </c>
    </row>
    <row r="4" spans="1:5">
      <c r="A4" s="639">
        <v>100</v>
      </c>
      <c r="B4" t="s">
        <v>419</v>
      </c>
      <c r="C4" t="s">
        <v>35</v>
      </c>
      <c r="D4" t="s">
        <v>35</v>
      </c>
      <c r="E4" t="s">
        <v>35</v>
      </c>
    </row>
    <row r="5" spans="1:5">
      <c r="A5" s="639">
        <v>30</v>
      </c>
      <c r="B5" t="s">
        <v>594</v>
      </c>
    </row>
    <row r="6" spans="1:5">
      <c r="A6" s="639">
        <v>2500</v>
      </c>
      <c r="B6" t="s">
        <v>595</v>
      </c>
    </row>
    <row r="7" spans="1:5">
      <c r="A7" s="229">
        <f>(A6-A5)*2.31</f>
        <v>5705.7</v>
      </c>
      <c r="B7" t="s">
        <v>596</v>
      </c>
    </row>
    <row r="8" spans="1:5">
      <c r="A8" s="639">
        <v>1</v>
      </c>
      <c r="B8" t="s">
        <v>350</v>
      </c>
    </row>
    <row r="9" spans="1:5">
      <c r="A9" s="230">
        <v>3960</v>
      </c>
      <c r="B9" t="s">
        <v>597</v>
      </c>
    </row>
    <row r="10" spans="1:5">
      <c r="A10" s="639">
        <v>0.9</v>
      </c>
      <c r="B10" t="s">
        <v>598</v>
      </c>
    </row>
    <row r="11" spans="1:5">
      <c r="A11" s="231">
        <f>(A4*A7*A8)/(A9*A10)</f>
        <v>160.09259259259258</v>
      </c>
      <c r="B11" s="1" t="s">
        <v>599</v>
      </c>
      <c r="C11" t="s">
        <v>600</v>
      </c>
    </row>
    <row r="13" spans="1:5" s="1" customFormat="1">
      <c r="A13" s="1" t="s">
        <v>601</v>
      </c>
    </row>
    <row r="14" spans="1:5">
      <c r="A14" s="639">
        <v>3428.6</v>
      </c>
      <c r="B14" t="s">
        <v>602</v>
      </c>
    </row>
    <row r="15" spans="1:5">
      <c r="A15" s="639">
        <v>0</v>
      </c>
      <c r="B15" t="s">
        <v>594</v>
      </c>
    </row>
    <row r="16" spans="1:5">
      <c r="A16" s="639">
        <v>2500</v>
      </c>
      <c r="B16" t="s">
        <v>595</v>
      </c>
    </row>
    <row r="17" spans="1:3" s="215" customFormat="1">
      <c r="A17" s="229">
        <f>(A16-A15)*2.31</f>
        <v>5775</v>
      </c>
      <c r="B17" t="s">
        <v>596</v>
      </c>
    </row>
    <row r="18" spans="1:3">
      <c r="A18" s="639">
        <v>1</v>
      </c>
      <c r="B18" t="s">
        <v>350</v>
      </c>
    </row>
    <row r="19" spans="1:3">
      <c r="A19" s="230">
        <v>1.7000000000000002</v>
      </c>
      <c r="B19" t="s">
        <v>597</v>
      </c>
    </row>
    <row r="20" spans="1:3">
      <c r="A20" s="639">
        <v>0.9</v>
      </c>
      <c r="B20" t="s">
        <v>598</v>
      </c>
    </row>
    <row r="21" spans="1:3">
      <c r="A21" s="231">
        <f>(A19*A14*(A16-A15)*A18)/(100000*A20)</f>
        <v>161.90611111111113</v>
      </c>
      <c r="B21" s="1" t="s">
        <v>599</v>
      </c>
      <c r="C21" t="s">
        <v>603</v>
      </c>
    </row>
    <row r="23" spans="1:3" s="1" customFormat="1">
      <c r="A23" s="1" t="s">
        <v>604</v>
      </c>
    </row>
    <row r="24" spans="1:3">
      <c r="A24" s="639">
        <v>3428.6</v>
      </c>
      <c r="B24" t="s">
        <v>602</v>
      </c>
    </row>
    <row r="25" spans="1:3">
      <c r="A25" s="639">
        <v>2500</v>
      </c>
      <c r="B25" t="s">
        <v>347</v>
      </c>
    </row>
    <row r="26" spans="1:3">
      <c r="A26" s="230">
        <v>58800</v>
      </c>
      <c r="B26" t="s">
        <v>597</v>
      </c>
    </row>
    <row r="27" spans="1:3">
      <c r="A27" s="639">
        <v>0.9</v>
      </c>
      <c r="B27" t="s">
        <v>598</v>
      </c>
    </row>
    <row r="28" spans="1:3">
      <c r="A28" s="231">
        <f>(A24*A25)/(A26*A27)</f>
        <v>161.97089947089947</v>
      </c>
      <c r="B28" s="1" t="s">
        <v>599</v>
      </c>
      <c r="C28" t="s">
        <v>605</v>
      </c>
    </row>
    <row r="31" spans="1:3" s="1" customFormat="1">
      <c r="A31" s="1" t="s">
        <v>606</v>
      </c>
    </row>
    <row r="33" spans="1:2">
      <c r="A33" s="639">
        <v>100</v>
      </c>
      <c r="B33" s="230" t="s">
        <v>419</v>
      </c>
    </row>
    <row r="34" spans="1:2">
      <c r="A34" s="232">
        <f>(A33*60*24)/42</f>
        <v>3428.5714285714284</v>
      </c>
      <c r="B34" s="230" t="s">
        <v>602</v>
      </c>
    </row>
    <row r="36" spans="1:2">
      <c r="A36" s="639">
        <v>3428.6</v>
      </c>
      <c r="B36" s="229" t="s">
        <v>602</v>
      </c>
    </row>
    <row r="37" spans="1:2">
      <c r="A37" s="233">
        <f>(A36*42)/(60*24)</f>
        <v>100.00083333333332</v>
      </c>
      <c r="B37" s="229" t="s">
        <v>419</v>
      </c>
    </row>
    <row r="39" spans="1:2">
      <c r="A39" s="639">
        <v>0</v>
      </c>
      <c r="B39" s="230" t="s">
        <v>594</v>
      </c>
    </row>
    <row r="40" spans="1:2">
      <c r="A40" s="639">
        <v>2500</v>
      </c>
      <c r="B40" s="230" t="s">
        <v>595</v>
      </c>
    </row>
    <row r="41" spans="1:2">
      <c r="A41" s="229">
        <f>(A40-A39)*2.31</f>
        <v>5775</v>
      </c>
      <c r="B41" s="230" t="s">
        <v>596</v>
      </c>
    </row>
    <row r="43" spans="1:2">
      <c r="A43" s="639">
        <v>5775</v>
      </c>
      <c r="B43" s="230" t="s">
        <v>596</v>
      </c>
    </row>
    <row r="44" spans="1:2">
      <c r="A44" s="230">
        <f>A43/2.31</f>
        <v>2500</v>
      </c>
      <c r="B44" s="230" t="s">
        <v>347</v>
      </c>
    </row>
    <row r="46" spans="1:2">
      <c r="A46" s="379" t="s">
        <v>666</v>
      </c>
    </row>
    <row r="47" spans="1:2">
      <c r="A47" s="380" t="s">
        <v>762</v>
      </c>
    </row>
    <row r="48" spans="1:2">
      <c r="A48" s="215" t="s">
        <v>763</v>
      </c>
    </row>
    <row r="49" spans="1:1">
      <c r="A49" s="379" t="s">
        <v>766</v>
      </c>
    </row>
    <row r="50" spans="1:1">
      <c r="A50" s="379" t="s">
        <v>3</v>
      </c>
    </row>
  </sheetData>
  <sheetProtection algorithmName="SHA-512" hashValue="dWSiqh6+9wpIVHk6waGFx/VGsDOGXVMeF5Gk1Ii7jxDY0tkOgicCdsOXbHTid2UmPCPburdVGDvSQFVMppeB1A==" saltValue="clZhsxPRI+x9TsuqCDbAfw==" spinCount="100000" sheet="1" objects="1" scenarios="1"/>
  <pageMargins left="0.78749999999999998" right="0.78749999999999998" top="0.78749999999999998" bottom="0.78749999999999998" header="0.51180555555555551" footer="0.51180555555555551"/>
  <pageSetup firstPageNumber="0" orientation="portrait"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C000"/>
    <pageSetUpPr fitToPage="1"/>
  </sheetPr>
  <dimension ref="A1:IV84"/>
  <sheetViews>
    <sheetView workbookViewId="0">
      <selection activeCell="I10" sqref="I10"/>
    </sheetView>
  </sheetViews>
  <sheetFormatPr defaultColWidth="11.5703125" defaultRowHeight="12.75"/>
  <cols>
    <col min="1" max="2" width="8.7109375" style="474" customWidth="1"/>
    <col min="3" max="3" width="7.28515625" style="475" customWidth="1"/>
    <col min="4" max="4" width="7.28515625" style="476" customWidth="1"/>
    <col min="5" max="5" width="7.28515625" style="477" customWidth="1"/>
    <col min="6" max="6" width="7.28515625" style="478" customWidth="1"/>
    <col min="7" max="7" width="7.28515625" style="477" customWidth="1"/>
    <col min="8" max="8" width="7.28515625" style="478" customWidth="1"/>
    <col min="9" max="9" width="7.28515625" style="477" customWidth="1"/>
    <col min="10" max="10" width="7.28515625" style="478" customWidth="1"/>
    <col min="11" max="11" width="7.28515625" style="477" customWidth="1"/>
    <col min="12" max="12" width="7.28515625" style="477" bestFit="1" customWidth="1"/>
    <col min="13" max="13" width="16.28515625" style="477" bestFit="1" customWidth="1"/>
    <col min="14" max="254" width="11.5703125" style="477"/>
    <col min="255" max="16384" width="11.5703125" style="21"/>
  </cols>
  <sheetData>
    <row r="1" spans="1:256" s="478" customFormat="1">
      <c r="A1" s="473" t="s">
        <v>767</v>
      </c>
      <c r="B1" s="474"/>
      <c r="C1" s="475"/>
      <c r="D1" s="476"/>
      <c r="E1" s="477"/>
      <c r="G1" s="477"/>
      <c r="I1" s="477"/>
      <c r="K1" s="477"/>
    </row>
    <row r="2" spans="1:256" s="478" customFormat="1">
      <c r="A2" s="473"/>
      <c r="B2" s="474"/>
      <c r="C2" s="475"/>
      <c r="D2" s="476"/>
      <c r="E2" s="477"/>
      <c r="G2" s="477"/>
      <c r="I2" s="477"/>
      <c r="K2" s="477"/>
    </row>
    <row r="3" spans="1:256" s="478" customFormat="1">
      <c r="A3" s="473" t="s">
        <v>768</v>
      </c>
      <c r="B3" s="474"/>
      <c r="C3" s="479">
        <v>480</v>
      </c>
      <c r="D3" s="476"/>
      <c r="E3" s="477"/>
      <c r="G3" s="477"/>
      <c r="I3" s="477"/>
      <c r="K3" s="477"/>
    </row>
    <row r="4" spans="1:256" s="478" customFormat="1">
      <c r="A4" s="473" t="s">
        <v>769</v>
      </c>
      <c r="B4" s="474"/>
      <c r="C4" s="479">
        <v>60</v>
      </c>
      <c r="D4" s="476"/>
      <c r="E4" s="477"/>
      <c r="G4" s="477"/>
      <c r="I4" s="477"/>
      <c r="K4" s="477"/>
    </row>
    <row r="5" spans="1:256" s="478" customFormat="1">
      <c r="A5" s="473" t="s">
        <v>770</v>
      </c>
      <c r="B5" s="474"/>
      <c r="C5" s="480">
        <f>C3/C4</f>
        <v>8</v>
      </c>
      <c r="D5" s="476"/>
      <c r="E5" s="477"/>
      <c r="G5" s="477"/>
      <c r="I5" s="477"/>
      <c r="K5" s="477"/>
    </row>
    <row r="6" spans="1:256" s="478" customFormat="1">
      <c r="A6" s="473" t="s">
        <v>771</v>
      </c>
      <c r="B6" s="474"/>
      <c r="C6" s="481">
        <v>0.04</v>
      </c>
      <c r="D6" s="476"/>
      <c r="E6" s="477"/>
      <c r="G6" s="477"/>
      <c r="I6" s="477"/>
      <c r="K6" s="477"/>
      <c r="IU6" s="482"/>
      <c r="IV6" s="482"/>
    </row>
    <row r="7" spans="1:256">
      <c r="A7" s="473"/>
      <c r="C7" s="483"/>
    </row>
    <row r="8" spans="1:256" s="478" customFormat="1">
      <c r="A8" s="474"/>
      <c r="B8" s="474"/>
      <c r="C8" s="484">
        <f t="shared" ref="C8:K8" si="0">(120*$C$4)/C$9</f>
        <v>3600</v>
      </c>
      <c r="D8" s="485">
        <f t="shared" si="0"/>
        <v>1800</v>
      </c>
      <c r="E8" s="484">
        <f t="shared" si="0"/>
        <v>1200</v>
      </c>
      <c r="F8" s="485">
        <f t="shared" si="0"/>
        <v>900</v>
      </c>
      <c r="G8" s="484">
        <f t="shared" si="0"/>
        <v>720</v>
      </c>
      <c r="H8" s="485">
        <f t="shared" si="0"/>
        <v>600</v>
      </c>
      <c r="I8" s="484">
        <f t="shared" si="0"/>
        <v>514.28571428571433</v>
      </c>
      <c r="J8" s="485">
        <f t="shared" si="0"/>
        <v>450</v>
      </c>
      <c r="K8" s="484">
        <f t="shared" si="0"/>
        <v>400</v>
      </c>
      <c r="L8" s="486" t="s">
        <v>758</v>
      </c>
      <c r="M8" s="487" t="s">
        <v>35</v>
      </c>
    </row>
    <row r="9" spans="1:256" s="478" customFormat="1">
      <c r="A9" s="488" t="s">
        <v>380</v>
      </c>
      <c r="B9" s="489" t="s">
        <v>772</v>
      </c>
      <c r="C9" s="490">
        <v>2</v>
      </c>
      <c r="D9" s="491">
        <v>4</v>
      </c>
      <c r="E9" s="490">
        <v>6</v>
      </c>
      <c r="F9" s="491">
        <v>8</v>
      </c>
      <c r="G9" s="490">
        <v>10</v>
      </c>
      <c r="H9" s="491">
        <v>12</v>
      </c>
      <c r="I9" s="490">
        <v>14</v>
      </c>
      <c r="J9" s="491">
        <v>16</v>
      </c>
      <c r="K9" s="490">
        <v>18</v>
      </c>
      <c r="L9" s="492" t="s">
        <v>6</v>
      </c>
    </row>
    <row r="10" spans="1:256">
      <c r="A10" s="488">
        <f t="shared" ref="A10:A46" si="1">B10*$C$5</f>
        <v>480</v>
      </c>
      <c r="B10" s="493">
        <v>60</v>
      </c>
      <c r="C10" s="494">
        <f>(C$8*($B10/60))-((C$8*($B10/60))*$C$6)</f>
        <v>3456</v>
      </c>
      <c r="D10" s="495">
        <f t="shared" ref="C10:K25" si="2">(D$8*($B10/60))-((D$8*($B10/60))*$C$6)</f>
        <v>1728</v>
      </c>
      <c r="E10" s="494">
        <f t="shared" si="2"/>
        <v>1152</v>
      </c>
      <c r="F10" s="495">
        <f t="shared" si="2"/>
        <v>864</v>
      </c>
      <c r="G10" s="494">
        <f t="shared" si="2"/>
        <v>691.2</v>
      </c>
      <c r="H10" s="495">
        <f t="shared" si="2"/>
        <v>576</v>
      </c>
      <c r="I10" s="494">
        <f t="shared" si="2"/>
        <v>493.71428571428578</v>
      </c>
      <c r="J10" s="495">
        <f t="shared" si="2"/>
        <v>432</v>
      </c>
      <c r="K10" s="494">
        <f t="shared" si="2"/>
        <v>384</v>
      </c>
      <c r="L10" s="477" t="s">
        <v>35</v>
      </c>
      <c r="IS10" s="21"/>
      <c r="IT10" s="21"/>
    </row>
    <row r="11" spans="1:256">
      <c r="A11" s="488">
        <f t="shared" si="1"/>
        <v>480</v>
      </c>
      <c r="B11" s="489">
        <v>60</v>
      </c>
      <c r="C11" s="496">
        <f t="shared" si="2"/>
        <v>3456</v>
      </c>
      <c r="D11" s="497">
        <f t="shared" si="2"/>
        <v>1728</v>
      </c>
      <c r="E11" s="496">
        <f t="shared" si="2"/>
        <v>1152</v>
      </c>
      <c r="F11" s="497">
        <f t="shared" si="2"/>
        <v>864</v>
      </c>
      <c r="G11" s="496">
        <f t="shared" si="2"/>
        <v>691.2</v>
      </c>
      <c r="H11" s="497">
        <f t="shared" si="2"/>
        <v>576</v>
      </c>
      <c r="I11" s="496">
        <f t="shared" si="2"/>
        <v>493.71428571428578</v>
      </c>
      <c r="J11" s="497">
        <f t="shared" si="2"/>
        <v>432</v>
      </c>
      <c r="K11" s="496">
        <f t="shared" si="2"/>
        <v>384</v>
      </c>
      <c r="IS11" s="21"/>
      <c r="IT11" s="21"/>
    </row>
    <row r="12" spans="1:256">
      <c r="A12" s="488">
        <f t="shared" si="1"/>
        <v>472</v>
      </c>
      <c r="B12" s="489">
        <v>59</v>
      </c>
      <c r="C12" s="494">
        <f t="shared" si="2"/>
        <v>3398.4</v>
      </c>
      <c r="D12" s="495">
        <f t="shared" si="2"/>
        <v>1699.2</v>
      </c>
      <c r="E12" s="494">
        <f t="shared" si="2"/>
        <v>1132.8</v>
      </c>
      <c r="F12" s="495">
        <f t="shared" si="2"/>
        <v>849.6</v>
      </c>
      <c r="G12" s="494">
        <f t="shared" si="2"/>
        <v>679.68</v>
      </c>
      <c r="H12" s="495">
        <f t="shared" si="2"/>
        <v>566.4</v>
      </c>
      <c r="I12" s="494">
        <f t="shared" si="2"/>
        <v>485.48571428571427</v>
      </c>
      <c r="J12" s="495">
        <f t="shared" si="2"/>
        <v>424.8</v>
      </c>
      <c r="K12" s="494">
        <f t="shared" si="2"/>
        <v>377.59999999999997</v>
      </c>
      <c r="IS12" s="21"/>
      <c r="IT12" s="21"/>
    </row>
    <row r="13" spans="1:256">
      <c r="A13" s="488">
        <f t="shared" si="1"/>
        <v>464</v>
      </c>
      <c r="B13" s="489">
        <v>58</v>
      </c>
      <c r="C13" s="496">
        <f t="shared" si="2"/>
        <v>3340.8</v>
      </c>
      <c r="D13" s="497">
        <f t="shared" si="2"/>
        <v>1670.4</v>
      </c>
      <c r="E13" s="496">
        <f t="shared" si="2"/>
        <v>1113.5999999999999</v>
      </c>
      <c r="F13" s="497">
        <f t="shared" si="2"/>
        <v>835.2</v>
      </c>
      <c r="G13" s="496">
        <f t="shared" si="2"/>
        <v>668.16</v>
      </c>
      <c r="H13" s="497">
        <f t="shared" si="2"/>
        <v>556.79999999999995</v>
      </c>
      <c r="I13" s="496">
        <f t="shared" si="2"/>
        <v>477.25714285714287</v>
      </c>
      <c r="J13" s="497">
        <f t="shared" si="2"/>
        <v>417.6</v>
      </c>
      <c r="K13" s="496">
        <f t="shared" si="2"/>
        <v>371.20000000000005</v>
      </c>
      <c r="IS13" s="21"/>
      <c r="IT13" s="21"/>
    </row>
    <row r="14" spans="1:256">
      <c r="A14" s="488">
        <f t="shared" si="1"/>
        <v>456</v>
      </c>
      <c r="B14" s="489">
        <v>57</v>
      </c>
      <c r="C14" s="494">
        <f t="shared" si="2"/>
        <v>3283.2</v>
      </c>
      <c r="D14" s="495">
        <f t="shared" si="2"/>
        <v>1641.6</v>
      </c>
      <c r="E14" s="494">
        <f t="shared" si="2"/>
        <v>1094.4000000000001</v>
      </c>
      <c r="F14" s="495">
        <f t="shared" si="2"/>
        <v>820.8</v>
      </c>
      <c r="G14" s="494">
        <f t="shared" si="2"/>
        <v>656.64</v>
      </c>
      <c r="H14" s="495">
        <f t="shared" si="2"/>
        <v>547.20000000000005</v>
      </c>
      <c r="I14" s="494">
        <f t="shared" si="2"/>
        <v>469.02857142857147</v>
      </c>
      <c r="J14" s="495">
        <f t="shared" si="2"/>
        <v>410.4</v>
      </c>
      <c r="K14" s="494">
        <f t="shared" si="2"/>
        <v>364.8</v>
      </c>
      <c r="IS14" s="21"/>
      <c r="IT14" s="21"/>
    </row>
    <row r="15" spans="1:256">
      <c r="A15" s="488">
        <f t="shared" si="1"/>
        <v>448</v>
      </c>
      <c r="B15" s="489">
        <v>56</v>
      </c>
      <c r="C15" s="496">
        <f t="shared" si="2"/>
        <v>3225.6</v>
      </c>
      <c r="D15" s="497">
        <f t="shared" si="2"/>
        <v>1612.8</v>
      </c>
      <c r="E15" s="496">
        <f t="shared" si="2"/>
        <v>1075.2</v>
      </c>
      <c r="F15" s="497">
        <f t="shared" si="2"/>
        <v>806.4</v>
      </c>
      <c r="G15" s="496">
        <f t="shared" si="2"/>
        <v>645.12</v>
      </c>
      <c r="H15" s="497">
        <f t="shared" si="2"/>
        <v>537.6</v>
      </c>
      <c r="I15" s="496">
        <f t="shared" si="2"/>
        <v>460.80000000000007</v>
      </c>
      <c r="J15" s="497">
        <f t="shared" si="2"/>
        <v>403.2</v>
      </c>
      <c r="K15" s="496">
        <f t="shared" si="2"/>
        <v>358.4</v>
      </c>
      <c r="IS15" s="21"/>
      <c r="IT15" s="21"/>
    </row>
    <row r="16" spans="1:256">
      <c r="A16" s="488">
        <f t="shared" si="1"/>
        <v>440</v>
      </c>
      <c r="B16" s="489">
        <v>55</v>
      </c>
      <c r="C16" s="494">
        <f t="shared" si="2"/>
        <v>3168</v>
      </c>
      <c r="D16" s="495">
        <f t="shared" si="2"/>
        <v>1584</v>
      </c>
      <c r="E16" s="494">
        <f t="shared" si="2"/>
        <v>1056</v>
      </c>
      <c r="F16" s="495">
        <f t="shared" si="2"/>
        <v>792</v>
      </c>
      <c r="G16" s="494">
        <f t="shared" si="2"/>
        <v>633.6</v>
      </c>
      <c r="H16" s="495">
        <f t="shared" si="2"/>
        <v>528</v>
      </c>
      <c r="I16" s="494">
        <f t="shared" si="2"/>
        <v>452.57142857142861</v>
      </c>
      <c r="J16" s="495">
        <f t="shared" si="2"/>
        <v>396</v>
      </c>
      <c r="K16" s="494">
        <f t="shared" si="2"/>
        <v>351.99999999999994</v>
      </c>
      <c r="IS16" s="21"/>
      <c r="IT16" s="21"/>
    </row>
    <row r="17" spans="1:254">
      <c r="A17" s="488">
        <f t="shared" si="1"/>
        <v>432</v>
      </c>
      <c r="B17" s="489">
        <v>54</v>
      </c>
      <c r="C17" s="496">
        <f t="shared" si="2"/>
        <v>3110.4</v>
      </c>
      <c r="D17" s="497">
        <f t="shared" si="2"/>
        <v>1555.2</v>
      </c>
      <c r="E17" s="496">
        <f t="shared" si="2"/>
        <v>1036.8</v>
      </c>
      <c r="F17" s="497">
        <f t="shared" si="2"/>
        <v>777.6</v>
      </c>
      <c r="G17" s="496">
        <f t="shared" si="2"/>
        <v>622.08000000000004</v>
      </c>
      <c r="H17" s="497">
        <f t="shared" si="2"/>
        <v>518.4</v>
      </c>
      <c r="I17" s="496">
        <f t="shared" si="2"/>
        <v>444.34285714285716</v>
      </c>
      <c r="J17" s="497">
        <f t="shared" si="2"/>
        <v>388.8</v>
      </c>
      <c r="K17" s="496">
        <f t="shared" si="2"/>
        <v>345.6</v>
      </c>
      <c r="IS17" s="21"/>
      <c r="IT17" s="21"/>
    </row>
    <row r="18" spans="1:254">
      <c r="A18" s="488">
        <f t="shared" si="1"/>
        <v>424</v>
      </c>
      <c r="B18" s="489">
        <v>53</v>
      </c>
      <c r="C18" s="494">
        <f t="shared" si="2"/>
        <v>3052.8</v>
      </c>
      <c r="D18" s="495">
        <f t="shared" si="2"/>
        <v>1526.4</v>
      </c>
      <c r="E18" s="494">
        <f t="shared" si="2"/>
        <v>1017.6</v>
      </c>
      <c r="F18" s="495">
        <f t="shared" si="2"/>
        <v>763.2</v>
      </c>
      <c r="G18" s="494">
        <f t="shared" si="2"/>
        <v>610.55999999999995</v>
      </c>
      <c r="H18" s="495">
        <f t="shared" si="2"/>
        <v>508.8</v>
      </c>
      <c r="I18" s="494">
        <f t="shared" si="2"/>
        <v>436.11428571428576</v>
      </c>
      <c r="J18" s="495">
        <f t="shared" si="2"/>
        <v>381.6</v>
      </c>
      <c r="K18" s="494">
        <f t="shared" si="2"/>
        <v>339.2</v>
      </c>
      <c r="IS18" s="21"/>
      <c r="IT18" s="21"/>
    </row>
    <row r="19" spans="1:254">
      <c r="A19" s="488">
        <f t="shared" si="1"/>
        <v>416</v>
      </c>
      <c r="B19" s="489">
        <v>52</v>
      </c>
      <c r="C19" s="496">
        <f t="shared" si="2"/>
        <v>2995.2</v>
      </c>
      <c r="D19" s="497">
        <f t="shared" si="2"/>
        <v>1497.6</v>
      </c>
      <c r="E19" s="496">
        <f t="shared" si="2"/>
        <v>998.4</v>
      </c>
      <c r="F19" s="497">
        <f t="shared" si="2"/>
        <v>748.8</v>
      </c>
      <c r="G19" s="496">
        <f t="shared" si="2"/>
        <v>599.04</v>
      </c>
      <c r="H19" s="497">
        <f t="shared" si="2"/>
        <v>499.2</v>
      </c>
      <c r="I19" s="496">
        <f t="shared" si="2"/>
        <v>427.88571428571436</v>
      </c>
      <c r="J19" s="497">
        <f t="shared" si="2"/>
        <v>374.4</v>
      </c>
      <c r="K19" s="496">
        <f t="shared" si="2"/>
        <v>332.8</v>
      </c>
      <c r="IS19" s="21"/>
      <c r="IT19" s="21"/>
    </row>
    <row r="20" spans="1:254">
      <c r="A20" s="488">
        <f t="shared" si="1"/>
        <v>408</v>
      </c>
      <c r="B20" s="489">
        <v>51</v>
      </c>
      <c r="C20" s="494">
        <f t="shared" si="2"/>
        <v>2937.6</v>
      </c>
      <c r="D20" s="495">
        <f t="shared" si="2"/>
        <v>1468.8</v>
      </c>
      <c r="E20" s="494">
        <f t="shared" si="2"/>
        <v>979.2</v>
      </c>
      <c r="F20" s="495">
        <f t="shared" si="2"/>
        <v>734.4</v>
      </c>
      <c r="G20" s="494">
        <f t="shared" si="2"/>
        <v>587.52</v>
      </c>
      <c r="H20" s="495">
        <f t="shared" si="2"/>
        <v>489.6</v>
      </c>
      <c r="I20" s="494">
        <f t="shared" si="2"/>
        <v>419.6571428571429</v>
      </c>
      <c r="J20" s="495">
        <f t="shared" si="2"/>
        <v>367.2</v>
      </c>
      <c r="K20" s="494">
        <f t="shared" si="2"/>
        <v>326.39999999999998</v>
      </c>
      <c r="IS20" s="21"/>
      <c r="IT20" s="21"/>
    </row>
    <row r="21" spans="1:254">
      <c r="A21" s="488">
        <f t="shared" si="1"/>
        <v>400</v>
      </c>
      <c r="B21" s="489">
        <v>50</v>
      </c>
      <c r="C21" s="496">
        <f t="shared" si="2"/>
        <v>2880</v>
      </c>
      <c r="D21" s="497">
        <f t="shared" si="2"/>
        <v>1440</v>
      </c>
      <c r="E21" s="496">
        <f t="shared" si="2"/>
        <v>960</v>
      </c>
      <c r="F21" s="497">
        <f t="shared" si="2"/>
        <v>720</v>
      </c>
      <c r="G21" s="496">
        <f t="shared" si="2"/>
        <v>576</v>
      </c>
      <c r="H21" s="497">
        <f t="shared" si="2"/>
        <v>480</v>
      </c>
      <c r="I21" s="496">
        <f t="shared" si="2"/>
        <v>411.42857142857144</v>
      </c>
      <c r="J21" s="497">
        <f t="shared" si="2"/>
        <v>360</v>
      </c>
      <c r="K21" s="496">
        <f t="shared" si="2"/>
        <v>320.00000000000006</v>
      </c>
      <c r="IS21" s="21"/>
      <c r="IT21" s="21"/>
    </row>
    <row r="22" spans="1:254">
      <c r="A22" s="488">
        <f t="shared" si="1"/>
        <v>392</v>
      </c>
      <c r="B22" s="489">
        <v>49</v>
      </c>
      <c r="C22" s="494">
        <f t="shared" si="2"/>
        <v>2822.4</v>
      </c>
      <c r="D22" s="495">
        <f t="shared" si="2"/>
        <v>1411.2</v>
      </c>
      <c r="E22" s="494">
        <f t="shared" si="2"/>
        <v>940.8</v>
      </c>
      <c r="F22" s="495">
        <f t="shared" si="2"/>
        <v>705.6</v>
      </c>
      <c r="G22" s="494">
        <f t="shared" si="2"/>
        <v>564.48</v>
      </c>
      <c r="H22" s="495">
        <f t="shared" si="2"/>
        <v>470.4</v>
      </c>
      <c r="I22" s="494">
        <f t="shared" si="2"/>
        <v>403.20000000000005</v>
      </c>
      <c r="J22" s="495">
        <f t="shared" si="2"/>
        <v>352.8</v>
      </c>
      <c r="K22" s="494">
        <f t="shared" si="2"/>
        <v>313.60000000000002</v>
      </c>
      <c r="IS22" s="21"/>
      <c r="IT22" s="21"/>
    </row>
    <row r="23" spans="1:254">
      <c r="A23" s="488">
        <f t="shared" si="1"/>
        <v>384</v>
      </c>
      <c r="B23" s="489">
        <v>48</v>
      </c>
      <c r="C23" s="496">
        <f t="shared" si="2"/>
        <v>2764.8</v>
      </c>
      <c r="D23" s="497">
        <f t="shared" si="2"/>
        <v>1382.4</v>
      </c>
      <c r="E23" s="496">
        <f t="shared" si="2"/>
        <v>921.6</v>
      </c>
      <c r="F23" s="497">
        <f t="shared" si="2"/>
        <v>691.2</v>
      </c>
      <c r="G23" s="496">
        <f t="shared" si="2"/>
        <v>552.96</v>
      </c>
      <c r="H23" s="497">
        <f t="shared" si="2"/>
        <v>460.8</v>
      </c>
      <c r="I23" s="496">
        <f t="shared" si="2"/>
        <v>394.97142857142865</v>
      </c>
      <c r="J23" s="497">
        <f t="shared" si="2"/>
        <v>345.6</v>
      </c>
      <c r="K23" s="496">
        <f t="shared" si="2"/>
        <v>307.2</v>
      </c>
      <c r="IS23" s="21"/>
      <c r="IT23" s="21"/>
    </row>
    <row r="24" spans="1:254">
      <c r="A24" s="488">
        <f t="shared" si="1"/>
        <v>376</v>
      </c>
      <c r="B24" s="489">
        <v>47</v>
      </c>
      <c r="C24" s="494">
        <f t="shared" si="2"/>
        <v>2707.2</v>
      </c>
      <c r="D24" s="495">
        <f t="shared" si="2"/>
        <v>1353.6</v>
      </c>
      <c r="E24" s="494">
        <f t="shared" si="2"/>
        <v>902.4</v>
      </c>
      <c r="F24" s="495">
        <f t="shared" si="2"/>
        <v>676.8</v>
      </c>
      <c r="G24" s="494">
        <f t="shared" si="2"/>
        <v>541.44000000000005</v>
      </c>
      <c r="H24" s="495">
        <f t="shared" si="2"/>
        <v>451.2</v>
      </c>
      <c r="I24" s="494">
        <f t="shared" si="2"/>
        <v>386.74285714285719</v>
      </c>
      <c r="J24" s="495">
        <f t="shared" si="2"/>
        <v>338.4</v>
      </c>
      <c r="K24" s="494">
        <f t="shared" si="2"/>
        <v>300.79999999999995</v>
      </c>
      <c r="IS24" s="21"/>
      <c r="IT24" s="21"/>
    </row>
    <row r="25" spans="1:254">
      <c r="A25" s="488">
        <f t="shared" si="1"/>
        <v>368</v>
      </c>
      <c r="B25" s="489">
        <v>46</v>
      </c>
      <c r="C25" s="496">
        <f t="shared" si="2"/>
        <v>2649.6</v>
      </c>
      <c r="D25" s="497">
        <f t="shared" si="2"/>
        <v>1324.8</v>
      </c>
      <c r="E25" s="496">
        <f t="shared" si="2"/>
        <v>883.20000000000016</v>
      </c>
      <c r="F25" s="497">
        <f t="shared" si="2"/>
        <v>662.4</v>
      </c>
      <c r="G25" s="496">
        <f t="shared" si="2"/>
        <v>529.91999999999996</v>
      </c>
      <c r="H25" s="497">
        <f t="shared" si="2"/>
        <v>441.60000000000008</v>
      </c>
      <c r="I25" s="496">
        <f t="shared" si="2"/>
        <v>378.51428571428573</v>
      </c>
      <c r="J25" s="497">
        <f t="shared" si="2"/>
        <v>331.2</v>
      </c>
      <c r="K25" s="496">
        <f t="shared" si="2"/>
        <v>294.40000000000003</v>
      </c>
      <c r="IS25" s="21"/>
      <c r="IT25" s="21"/>
    </row>
    <row r="26" spans="1:254">
      <c r="A26" s="488">
        <f t="shared" si="1"/>
        <v>360</v>
      </c>
      <c r="B26" s="489">
        <v>45</v>
      </c>
      <c r="C26" s="494">
        <f t="shared" ref="C26:K41" si="3">(C$8*($B26/60))-((C$8*($B26/60))*$C$6)</f>
        <v>2592</v>
      </c>
      <c r="D26" s="495">
        <f t="shared" si="3"/>
        <v>1296</v>
      </c>
      <c r="E26" s="494">
        <f t="shared" si="3"/>
        <v>864</v>
      </c>
      <c r="F26" s="495">
        <f t="shared" si="3"/>
        <v>648</v>
      </c>
      <c r="G26" s="494">
        <f t="shared" si="3"/>
        <v>518.4</v>
      </c>
      <c r="H26" s="495">
        <f t="shared" si="3"/>
        <v>432</v>
      </c>
      <c r="I26" s="494">
        <f t="shared" si="3"/>
        <v>370.28571428571433</v>
      </c>
      <c r="J26" s="495">
        <f t="shared" si="3"/>
        <v>324</v>
      </c>
      <c r="K26" s="494">
        <f t="shared" si="3"/>
        <v>288</v>
      </c>
      <c r="IS26" s="21"/>
      <c r="IT26" s="21"/>
    </row>
    <row r="27" spans="1:254">
      <c r="A27" s="488">
        <f t="shared" si="1"/>
        <v>352</v>
      </c>
      <c r="B27" s="489">
        <v>44</v>
      </c>
      <c r="C27" s="496">
        <f t="shared" si="3"/>
        <v>2534.4</v>
      </c>
      <c r="D27" s="497">
        <f t="shared" si="3"/>
        <v>1267.2</v>
      </c>
      <c r="E27" s="496">
        <f t="shared" si="3"/>
        <v>844.79999999999984</v>
      </c>
      <c r="F27" s="497">
        <f t="shared" si="3"/>
        <v>633.6</v>
      </c>
      <c r="G27" s="496">
        <f t="shared" si="3"/>
        <v>506.88</v>
      </c>
      <c r="H27" s="497">
        <f t="shared" si="3"/>
        <v>422.39999999999992</v>
      </c>
      <c r="I27" s="496">
        <f t="shared" si="3"/>
        <v>362.05714285714288</v>
      </c>
      <c r="J27" s="497">
        <f t="shared" si="3"/>
        <v>316.8</v>
      </c>
      <c r="K27" s="496">
        <f t="shared" si="3"/>
        <v>281.59999999999997</v>
      </c>
      <c r="IS27" s="21"/>
      <c r="IT27" s="21"/>
    </row>
    <row r="28" spans="1:254">
      <c r="A28" s="488">
        <f t="shared" si="1"/>
        <v>344</v>
      </c>
      <c r="B28" s="489">
        <v>43</v>
      </c>
      <c r="C28" s="494">
        <f t="shared" si="3"/>
        <v>2476.8000000000002</v>
      </c>
      <c r="D28" s="495">
        <f t="shared" si="3"/>
        <v>1238.4000000000001</v>
      </c>
      <c r="E28" s="494">
        <f t="shared" si="3"/>
        <v>825.6</v>
      </c>
      <c r="F28" s="495">
        <f t="shared" si="3"/>
        <v>619.20000000000005</v>
      </c>
      <c r="G28" s="494">
        <f t="shared" si="3"/>
        <v>495.36</v>
      </c>
      <c r="H28" s="495">
        <f t="shared" si="3"/>
        <v>412.8</v>
      </c>
      <c r="I28" s="494">
        <f t="shared" si="3"/>
        <v>353.82857142857148</v>
      </c>
      <c r="J28" s="495">
        <f t="shared" si="3"/>
        <v>309.60000000000002</v>
      </c>
      <c r="K28" s="494">
        <f t="shared" si="3"/>
        <v>275.20000000000005</v>
      </c>
      <c r="IS28" s="21"/>
      <c r="IT28" s="21"/>
    </row>
    <row r="29" spans="1:254">
      <c r="A29" s="488">
        <f t="shared" si="1"/>
        <v>336</v>
      </c>
      <c r="B29" s="489">
        <v>42</v>
      </c>
      <c r="C29" s="496">
        <f t="shared" si="3"/>
        <v>2419.1999999999998</v>
      </c>
      <c r="D29" s="497">
        <f t="shared" si="3"/>
        <v>1209.5999999999999</v>
      </c>
      <c r="E29" s="496">
        <f t="shared" si="3"/>
        <v>806.4</v>
      </c>
      <c r="F29" s="497">
        <f t="shared" si="3"/>
        <v>604.79999999999995</v>
      </c>
      <c r="G29" s="496">
        <f t="shared" si="3"/>
        <v>483.83999999999992</v>
      </c>
      <c r="H29" s="497">
        <f t="shared" si="3"/>
        <v>403.2</v>
      </c>
      <c r="I29" s="496">
        <f t="shared" si="3"/>
        <v>345.6</v>
      </c>
      <c r="J29" s="497">
        <f t="shared" si="3"/>
        <v>302.39999999999998</v>
      </c>
      <c r="K29" s="496">
        <f t="shared" si="3"/>
        <v>268.8</v>
      </c>
      <c r="IS29" s="21"/>
      <c r="IT29" s="21"/>
    </row>
    <row r="30" spans="1:254">
      <c r="A30" s="488">
        <f t="shared" si="1"/>
        <v>328</v>
      </c>
      <c r="B30" s="489">
        <v>41</v>
      </c>
      <c r="C30" s="494">
        <f t="shared" si="3"/>
        <v>2361.6</v>
      </c>
      <c r="D30" s="495">
        <f t="shared" si="3"/>
        <v>1180.8</v>
      </c>
      <c r="E30" s="494">
        <f t="shared" si="3"/>
        <v>787.2</v>
      </c>
      <c r="F30" s="495">
        <f t="shared" si="3"/>
        <v>590.4</v>
      </c>
      <c r="G30" s="494">
        <f t="shared" si="3"/>
        <v>472.32</v>
      </c>
      <c r="H30" s="495">
        <f t="shared" si="3"/>
        <v>393.6</v>
      </c>
      <c r="I30" s="494">
        <f t="shared" si="3"/>
        <v>337.37142857142857</v>
      </c>
      <c r="J30" s="495">
        <f t="shared" si="3"/>
        <v>295.2</v>
      </c>
      <c r="K30" s="494">
        <f t="shared" si="3"/>
        <v>262.39999999999998</v>
      </c>
      <c r="IS30" s="21"/>
      <c r="IT30" s="21"/>
    </row>
    <row r="31" spans="1:254">
      <c r="A31" s="488">
        <f t="shared" si="1"/>
        <v>320</v>
      </c>
      <c r="B31" s="489">
        <v>40</v>
      </c>
      <c r="C31" s="496">
        <f t="shared" si="3"/>
        <v>2304</v>
      </c>
      <c r="D31" s="497">
        <f t="shared" si="3"/>
        <v>1152</v>
      </c>
      <c r="E31" s="496">
        <f t="shared" si="3"/>
        <v>768</v>
      </c>
      <c r="F31" s="497">
        <f t="shared" si="3"/>
        <v>576</v>
      </c>
      <c r="G31" s="496">
        <f t="shared" si="3"/>
        <v>460.8</v>
      </c>
      <c r="H31" s="497">
        <f t="shared" si="3"/>
        <v>384</v>
      </c>
      <c r="I31" s="496">
        <f t="shared" si="3"/>
        <v>329.14285714285717</v>
      </c>
      <c r="J31" s="497">
        <f t="shared" si="3"/>
        <v>288</v>
      </c>
      <c r="K31" s="496">
        <f t="shared" si="3"/>
        <v>255.99999999999997</v>
      </c>
      <c r="IS31" s="21"/>
      <c r="IT31" s="21"/>
    </row>
    <row r="32" spans="1:254">
      <c r="A32" s="488">
        <f t="shared" si="1"/>
        <v>312</v>
      </c>
      <c r="B32" s="489">
        <v>39</v>
      </c>
      <c r="C32" s="494">
        <f t="shared" si="3"/>
        <v>2246.4</v>
      </c>
      <c r="D32" s="495">
        <f t="shared" si="3"/>
        <v>1123.2</v>
      </c>
      <c r="E32" s="494">
        <f t="shared" si="3"/>
        <v>748.8</v>
      </c>
      <c r="F32" s="495">
        <f t="shared" si="3"/>
        <v>561.6</v>
      </c>
      <c r="G32" s="494">
        <f t="shared" si="3"/>
        <v>449.28</v>
      </c>
      <c r="H32" s="495">
        <f t="shared" si="3"/>
        <v>374.4</v>
      </c>
      <c r="I32" s="494">
        <f t="shared" si="3"/>
        <v>320.91428571428577</v>
      </c>
      <c r="J32" s="495">
        <f t="shared" si="3"/>
        <v>280.8</v>
      </c>
      <c r="K32" s="494">
        <f t="shared" si="3"/>
        <v>249.6</v>
      </c>
      <c r="IS32" s="21"/>
      <c r="IT32" s="21"/>
    </row>
    <row r="33" spans="1:254">
      <c r="A33" s="488">
        <f t="shared" si="1"/>
        <v>304</v>
      </c>
      <c r="B33" s="489">
        <v>38</v>
      </c>
      <c r="C33" s="496">
        <f t="shared" si="3"/>
        <v>2188.8000000000002</v>
      </c>
      <c r="D33" s="497">
        <f t="shared" si="3"/>
        <v>1094.4000000000001</v>
      </c>
      <c r="E33" s="496">
        <f t="shared" si="3"/>
        <v>729.6</v>
      </c>
      <c r="F33" s="497">
        <f t="shared" si="3"/>
        <v>547.20000000000005</v>
      </c>
      <c r="G33" s="496">
        <f t="shared" si="3"/>
        <v>437.76</v>
      </c>
      <c r="H33" s="497">
        <f t="shared" si="3"/>
        <v>364.8</v>
      </c>
      <c r="I33" s="496">
        <f t="shared" si="3"/>
        <v>312.68571428571431</v>
      </c>
      <c r="J33" s="497">
        <f t="shared" si="3"/>
        <v>273.60000000000002</v>
      </c>
      <c r="K33" s="496">
        <f t="shared" si="3"/>
        <v>243.2</v>
      </c>
      <c r="IS33" s="21"/>
      <c r="IT33" s="21"/>
    </row>
    <row r="34" spans="1:254">
      <c r="A34" s="488">
        <f t="shared" si="1"/>
        <v>296</v>
      </c>
      <c r="B34" s="489">
        <v>37</v>
      </c>
      <c r="C34" s="494">
        <f t="shared" si="3"/>
        <v>2131.1999999999998</v>
      </c>
      <c r="D34" s="495">
        <f t="shared" si="3"/>
        <v>1065.5999999999999</v>
      </c>
      <c r="E34" s="494">
        <f t="shared" si="3"/>
        <v>710.4</v>
      </c>
      <c r="F34" s="495">
        <f t="shared" si="3"/>
        <v>532.79999999999995</v>
      </c>
      <c r="G34" s="494">
        <f t="shared" si="3"/>
        <v>426.24</v>
      </c>
      <c r="H34" s="495">
        <f t="shared" si="3"/>
        <v>355.2</v>
      </c>
      <c r="I34" s="494">
        <f t="shared" si="3"/>
        <v>304.45714285714286</v>
      </c>
      <c r="J34" s="495">
        <f t="shared" si="3"/>
        <v>266.39999999999998</v>
      </c>
      <c r="K34" s="494">
        <f t="shared" si="3"/>
        <v>236.8</v>
      </c>
      <c r="O34" s="477" t="s">
        <v>35</v>
      </c>
      <c r="IS34" s="21"/>
      <c r="IT34" s="21"/>
    </row>
    <row r="35" spans="1:254">
      <c r="A35" s="488">
        <f t="shared" si="1"/>
        <v>288</v>
      </c>
      <c r="B35" s="489">
        <v>36</v>
      </c>
      <c r="C35" s="496">
        <f t="shared" si="3"/>
        <v>2073.6</v>
      </c>
      <c r="D35" s="497">
        <f t="shared" si="3"/>
        <v>1036.8</v>
      </c>
      <c r="E35" s="496">
        <f t="shared" si="3"/>
        <v>691.2</v>
      </c>
      <c r="F35" s="497">
        <f t="shared" si="3"/>
        <v>518.4</v>
      </c>
      <c r="G35" s="496">
        <f t="shared" si="3"/>
        <v>414.72</v>
      </c>
      <c r="H35" s="497">
        <f t="shared" si="3"/>
        <v>345.6</v>
      </c>
      <c r="I35" s="496">
        <f t="shared" si="3"/>
        <v>296.22857142857146</v>
      </c>
      <c r="J35" s="497">
        <f t="shared" si="3"/>
        <v>259.2</v>
      </c>
      <c r="K35" s="496">
        <f t="shared" si="3"/>
        <v>230.4</v>
      </c>
      <c r="IS35" s="21"/>
      <c r="IT35" s="21"/>
    </row>
    <row r="36" spans="1:254">
      <c r="A36" s="488">
        <f t="shared" si="1"/>
        <v>280</v>
      </c>
      <c r="B36" s="489">
        <v>35</v>
      </c>
      <c r="C36" s="494">
        <f t="shared" si="3"/>
        <v>2016</v>
      </c>
      <c r="D36" s="495">
        <f t="shared" si="3"/>
        <v>1008</v>
      </c>
      <c r="E36" s="494">
        <f t="shared" si="3"/>
        <v>672</v>
      </c>
      <c r="F36" s="495">
        <f t="shared" si="3"/>
        <v>504</v>
      </c>
      <c r="G36" s="494">
        <f t="shared" si="3"/>
        <v>403.2</v>
      </c>
      <c r="H36" s="495">
        <f t="shared" si="3"/>
        <v>336</v>
      </c>
      <c r="I36" s="494">
        <f t="shared" si="3"/>
        <v>288.00000000000006</v>
      </c>
      <c r="J36" s="495">
        <f t="shared" si="3"/>
        <v>252</v>
      </c>
      <c r="K36" s="494">
        <f t="shared" si="3"/>
        <v>224</v>
      </c>
      <c r="IS36" s="21"/>
      <c r="IT36" s="21"/>
    </row>
    <row r="37" spans="1:254">
      <c r="A37" s="488">
        <f t="shared" si="1"/>
        <v>272</v>
      </c>
      <c r="B37" s="489">
        <v>34</v>
      </c>
      <c r="C37" s="496">
        <f t="shared" si="3"/>
        <v>1958.4</v>
      </c>
      <c r="D37" s="497">
        <f t="shared" si="3"/>
        <v>979.2</v>
      </c>
      <c r="E37" s="496">
        <f t="shared" si="3"/>
        <v>652.79999999999995</v>
      </c>
      <c r="F37" s="497">
        <f t="shared" si="3"/>
        <v>489.6</v>
      </c>
      <c r="G37" s="496">
        <f t="shared" si="3"/>
        <v>391.68</v>
      </c>
      <c r="H37" s="497">
        <f t="shared" si="3"/>
        <v>326.39999999999998</v>
      </c>
      <c r="I37" s="496">
        <f t="shared" si="3"/>
        <v>279.7714285714286</v>
      </c>
      <c r="J37" s="497">
        <f t="shared" si="3"/>
        <v>244.8</v>
      </c>
      <c r="K37" s="496">
        <f t="shared" si="3"/>
        <v>217.6</v>
      </c>
      <c r="IS37" s="21"/>
      <c r="IT37" s="21"/>
    </row>
    <row r="38" spans="1:254">
      <c r="A38" s="488">
        <f t="shared" si="1"/>
        <v>264</v>
      </c>
      <c r="B38" s="489">
        <v>33</v>
      </c>
      <c r="C38" s="494">
        <f t="shared" si="3"/>
        <v>1900.8000000000002</v>
      </c>
      <c r="D38" s="495">
        <f t="shared" si="3"/>
        <v>950.40000000000009</v>
      </c>
      <c r="E38" s="494">
        <f t="shared" si="3"/>
        <v>633.6</v>
      </c>
      <c r="F38" s="495">
        <f t="shared" si="3"/>
        <v>475.20000000000005</v>
      </c>
      <c r="G38" s="494">
        <f t="shared" si="3"/>
        <v>380.16000000000008</v>
      </c>
      <c r="H38" s="495">
        <f t="shared" si="3"/>
        <v>316.8</v>
      </c>
      <c r="I38" s="494">
        <f t="shared" si="3"/>
        <v>271.5428571428572</v>
      </c>
      <c r="J38" s="495">
        <f t="shared" si="3"/>
        <v>237.60000000000002</v>
      </c>
      <c r="K38" s="494">
        <f t="shared" si="3"/>
        <v>211.20000000000002</v>
      </c>
      <c r="IS38" s="21"/>
      <c r="IT38" s="21"/>
    </row>
    <row r="39" spans="1:254">
      <c r="A39" s="488">
        <f t="shared" si="1"/>
        <v>256</v>
      </c>
      <c r="B39" s="489">
        <v>32</v>
      </c>
      <c r="C39" s="496">
        <f t="shared" si="3"/>
        <v>1843.2</v>
      </c>
      <c r="D39" s="497">
        <f t="shared" si="3"/>
        <v>921.6</v>
      </c>
      <c r="E39" s="496">
        <f t="shared" si="3"/>
        <v>614.4</v>
      </c>
      <c r="F39" s="497">
        <f t="shared" si="3"/>
        <v>460.8</v>
      </c>
      <c r="G39" s="496">
        <f t="shared" si="3"/>
        <v>368.64</v>
      </c>
      <c r="H39" s="497">
        <f t="shared" si="3"/>
        <v>307.2</v>
      </c>
      <c r="I39" s="496">
        <f t="shared" si="3"/>
        <v>263.31428571428575</v>
      </c>
      <c r="J39" s="497">
        <f t="shared" si="3"/>
        <v>230.4</v>
      </c>
      <c r="K39" s="496">
        <f t="shared" si="3"/>
        <v>204.8</v>
      </c>
      <c r="IS39" s="21"/>
      <c r="IT39" s="21"/>
    </row>
    <row r="40" spans="1:254">
      <c r="A40" s="488">
        <f t="shared" si="1"/>
        <v>248</v>
      </c>
      <c r="B40" s="489">
        <v>31</v>
      </c>
      <c r="C40" s="494">
        <f t="shared" si="3"/>
        <v>1785.6000000000001</v>
      </c>
      <c r="D40" s="495">
        <f t="shared" si="3"/>
        <v>892.80000000000007</v>
      </c>
      <c r="E40" s="494">
        <f t="shared" si="3"/>
        <v>595.20000000000016</v>
      </c>
      <c r="F40" s="495">
        <f t="shared" si="3"/>
        <v>446.40000000000003</v>
      </c>
      <c r="G40" s="494">
        <f t="shared" si="3"/>
        <v>357.12000000000006</v>
      </c>
      <c r="H40" s="495">
        <f t="shared" si="3"/>
        <v>297.60000000000008</v>
      </c>
      <c r="I40" s="494">
        <f t="shared" si="3"/>
        <v>255.08571428571435</v>
      </c>
      <c r="J40" s="495">
        <f t="shared" si="3"/>
        <v>223.20000000000002</v>
      </c>
      <c r="K40" s="494">
        <f t="shared" si="3"/>
        <v>198.4</v>
      </c>
      <c r="IS40" s="21"/>
      <c r="IT40" s="21"/>
    </row>
    <row r="41" spans="1:254">
      <c r="A41" s="488">
        <f t="shared" si="1"/>
        <v>240</v>
      </c>
      <c r="B41" s="489">
        <v>30</v>
      </c>
      <c r="C41" s="496">
        <f t="shared" si="3"/>
        <v>1728</v>
      </c>
      <c r="D41" s="497">
        <f t="shared" si="3"/>
        <v>864</v>
      </c>
      <c r="E41" s="496">
        <f t="shared" si="3"/>
        <v>576</v>
      </c>
      <c r="F41" s="497">
        <f t="shared" si="3"/>
        <v>432</v>
      </c>
      <c r="G41" s="496">
        <f t="shared" si="3"/>
        <v>345.6</v>
      </c>
      <c r="H41" s="497">
        <f t="shared" si="3"/>
        <v>288</v>
      </c>
      <c r="I41" s="496">
        <f t="shared" si="3"/>
        <v>246.85714285714289</v>
      </c>
      <c r="J41" s="497">
        <f t="shared" si="3"/>
        <v>216</v>
      </c>
      <c r="K41" s="496">
        <f t="shared" si="3"/>
        <v>192</v>
      </c>
      <c r="IS41" s="21"/>
      <c r="IT41" s="21"/>
    </row>
    <row r="42" spans="1:254">
      <c r="A42" s="488">
        <f t="shared" si="1"/>
        <v>232</v>
      </c>
      <c r="B42" s="489">
        <v>29</v>
      </c>
      <c r="C42" s="494">
        <f t="shared" ref="C42:K46" si="4">(C$8*($B42/60))-((C$8*($B42/60))*$C$6)</f>
        <v>1670.4</v>
      </c>
      <c r="D42" s="495">
        <f t="shared" si="4"/>
        <v>835.2</v>
      </c>
      <c r="E42" s="494">
        <f t="shared" si="4"/>
        <v>556.79999999999995</v>
      </c>
      <c r="F42" s="495">
        <f t="shared" si="4"/>
        <v>417.6</v>
      </c>
      <c r="G42" s="494">
        <f t="shared" si="4"/>
        <v>334.08</v>
      </c>
      <c r="H42" s="495">
        <f t="shared" si="4"/>
        <v>278.39999999999998</v>
      </c>
      <c r="I42" s="494">
        <f t="shared" si="4"/>
        <v>238.62857142857143</v>
      </c>
      <c r="J42" s="495">
        <f t="shared" si="4"/>
        <v>208.8</v>
      </c>
      <c r="K42" s="494">
        <f t="shared" si="4"/>
        <v>185.60000000000002</v>
      </c>
      <c r="IS42" s="21"/>
      <c r="IT42" s="21"/>
    </row>
    <row r="43" spans="1:254">
      <c r="A43" s="488">
        <f t="shared" si="1"/>
        <v>224</v>
      </c>
      <c r="B43" s="489">
        <v>28</v>
      </c>
      <c r="C43" s="496">
        <f t="shared" si="4"/>
        <v>1612.8</v>
      </c>
      <c r="D43" s="497">
        <f t="shared" si="4"/>
        <v>806.4</v>
      </c>
      <c r="E43" s="496">
        <f t="shared" si="4"/>
        <v>537.6</v>
      </c>
      <c r="F43" s="497">
        <f t="shared" si="4"/>
        <v>403.2</v>
      </c>
      <c r="G43" s="496">
        <f t="shared" si="4"/>
        <v>322.56</v>
      </c>
      <c r="H43" s="497">
        <f t="shared" si="4"/>
        <v>268.8</v>
      </c>
      <c r="I43" s="496">
        <f t="shared" si="4"/>
        <v>230.40000000000003</v>
      </c>
      <c r="J43" s="497">
        <f t="shared" si="4"/>
        <v>201.6</v>
      </c>
      <c r="K43" s="496">
        <f t="shared" si="4"/>
        <v>179.2</v>
      </c>
      <c r="IS43" s="21"/>
      <c r="IT43" s="21"/>
    </row>
    <row r="44" spans="1:254">
      <c r="A44" s="488">
        <f t="shared" si="1"/>
        <v>216</v>
      </c>
      <c r="B44" s="489">
        <v>27</v>
      </c>
      <c r="C44" s="494">
        <f t="shared" si="4"/>
        <v>1555.2</v>
      </c>
      <c r="D44" s="495">
        <f t="shared" si="4"/>
        <v>777.6</v>
      </c>
      <c r="E44" s="494">
        <f t="shared" si="4"/>
        <v>518.4</v>
      </c>
      <c r="F44" s="495">
        <f t="shared" si="4"/>
        <v>388.8</v>
      </c>
      <c r="G44" s="494">
        <f t="shared" si="4"/>
        <v>311.04000000000002</v>
      </c>
      <c r="H44" s="495">
        <f t="shared" si="4"/>
        <v>259.2</v>
      </c>
      <c r="I44" s="494">
        <f t="shared" si="4"/>
        <v>222.17142857142858</v>
      </c>
      <c r="J44" s="495">
        <f t="shared" si="4"/>
        <v>194.4</v>
      </c>
      <c r="K44" s="494">
        <f t="shared" si="4"/>
        <v>172.8</v>
      </c>
      <c r="IS44" s="21"/>
      <c r="IT44" s="21"/>
    </row>
    <row r="45" spans="1:254">
      <c r="A45" s="488">
        <f t="shared" si="1"/>
        <v>208</v>
      </c>
      <c r="B45" s="489">
        <v>26</v>
      </c>
      <c r="C45" s="496">
        <f t="shared" si="4"/>
        <v>1497.6</v>
      </c>
      <c r="D45" s="497">
        <f t="shared" si="4"/>
        <v>748.8</v>
      </c>
      <c r="E45" s="496">
        <f t="shared" si="4"/>
        <v>499.2</v>
      </c>
      <c r="F45" s="497">
        <f t="shared" si="4"/>
        <v>374.4</v>
      </c>
      <c r="G45" s="496">
        <f t="shared" si="4"/>
        <v>299.52</v>
      </c>
      <c r="H45" s="497">
        <f t="shared" si="4"/>
        <v>249.6</v>
      </c>
      <c r="I45" s="496">
        <f t="shared" si="4"/>
        <v>213.94285714285718</v>
      </c>
      <c r="J45" s="497">
        <f t="shared" si="4"/>
        <v>187.2</v>
      </c>
      <c r="K45" s="496">
        <f t="shared" si="4"/>
        <v>166.4</v>
      </c>
      <c r="IS45" s="21"/>
      <c r="IT45" s="21"/>
    </row>
    <row r="46" spans="1:254">
      <c r="A46" s="488">
        <f t="shared" si="1"/>
        <v>200</v>
      </c>
      <c r="B46" s="489">
        <v>25</v>
      </c>
      <c r="C46" s="494">
        <f t="shared" si="4"/>
        <v>1440</v>
      </c>
      <c r="D46" s="495">
        <f t="shared" si="4"/>
        <v>720</v>
      </c>
      <c r="E46" s="494">
        <f t="shared" si="4"/>
        <v>480</v>
      </c>
      <c r="F46" s="495">
        <f t="shared" si="4"/>
        <v>360</v>
      </c>
      <c r="G46" s="494">
        <f t="shared" si="4"/>
        <v>288</v>
      </c>
      <c r="H46" s="495">
        <f t="shared" si="4"/>
        <v>240</v>
      </c>
      <c r="I46" s="494">
        <f t="shared" si="4"/>
        <v>205.71428571428572</v>
      </c>
      <c r="J46" s="495">
        <f t="shared" si="4"/>
        <v>180</v>
      </c>
      <c r="K46" s="494">
        <f t="shared" si="4"/>
        <v>160.00000000000003</v>
      </c>
      <c r="IS46" s="21"/>
      <c r="IT46" s="21"/>
    </row>
    <row r="48" spans="1:254">
      <c r="A48" s="498" t="s">
        <v>773</v>
      </c>
    </row>
    <row r="50" spans="1:256">
      <c r="A50" s="379" t="s">
        <v>666</v>
      </c>
    </row>
    <row r="51" spans="1:256" s="478" customFormat="1">
      <c r="A51" s="380" t="s">
        <v>762</v>
      </c>
      <c r="B51" s="474"/>
      <c r="C51" s="475"/>
      <c r="D51" s="476"/>
      <c r="E51" s="477"/>
      <c r="G51" s="477"/>
      <c r="I51" s="477"/>
      <c r="K51" s="477"/>
    </row>
    <row r="52" spans="1:256" s="499" customFormat="1">
      <c r="A52" s="136" t="s">
        <v>763</v>
      </c>
      <c r="C52" s="500"/>
      <c r="D52" s="501"/>
      <c r="E52" s="184"/>
      <c r="G52" s="184"/>
      <c r="I52" s="184"/>
      <c r="K52" s="184"/>
      <c r="IU52" s="478"/>
      <c r="IV52" s="478"/>
    </row>
    <row r="53" spans="1:256">
      <c r="A53" s="379" t="s">
        <v>766</v>
      </c>
    </row>
    <row r="54" spans="1:256">
      <c r="A54" s="379" t="s">
        <v>3</v>
      </c>
      <c r="B54" s="499"/>
      <c r="C54" s="500"/>
      <c r="D54" s="501"/>
      <c r="E54" s="184"/>
      <c r="F54" s="499"/>
      <c r="G54" s="184"/>
      <c r="H54" s="499"/>
      <c r="I54" s="184"/>
      <c r="J54" s="499"/>
      <c r="K54" s="184"/>
      <c r="L54" s="184"/>
    </row>
    <row r="55" spans="1:256">
      <c r="A55" s="499"/>
      <c r="B55" s="499"/>
      <c r="C55" s="500"/>
      <c r="D55" s="501"/>
      <c r="E55" s="184"/>
      <c r="F55" s="499"/>
      <c r="G55" s="184"/>
      <c r="H55" s="499"/>
      <c r="I55" s="184"/>
      <c r="J55" s="499"/>
      <c r="K55" s="184"/>
      <c r="L55" s="184"/>
    </row>
    <row r="56" spans="1:256">
      <c r="A56" s="499"/>
      <c r="B56" s="499"/>
      <c r="C56" s="500"/>
      <c r="D56" s="501"/>
      <c r="E56" s="184"/>
      <c r="F56" s="499"/>
      <c r="G56" s="184"/>
      <c r="H56" s="499"/>
      <c r="I56" s="184"/>
      <c r="J56" s="499"/>
      <c r="K56" s="184"/>
      <c r="L56" s="184"/>
    </row>
    <row r="57" spans="1:256">
      <c r="A57" s="499"/>
      <c r="B57" s="499"/>
      <c r="C57" s="500"/>
      <c r="D57" s="501"/>
      <c r="E57" s="184"/>
      <c r="F57" s="499"/>
      <c r="G57" s="184"/>
      <c r="H57" s="499"/>
      <c r="I57" s="184"/>
      <c r="J57" s="499"/>
      <c r="K57" s="184"/>
      <c r="L57" s="184"/>
    </row>
    <row r="58" spans="1:256">
      <c r="A58" s="499"/>
      <c r="B58" s="499"/>
      <c r="C58" s="500"/>
      <c r="D58" s="501"/>
      <c r="E58" s="184"/>
      <c r="F58" s="499"/>
      <c r="G58" s="184"/>
      <c r="H58" s="499"/>
      <c r="I58" s="184"/>
      <c r="J58" s="499"/>
      <c r="K58" s="184"/>
      <c r="L58" s="184"/>
    </row>
    <row r="59" spans="1:256">
      <c r="A59" s="499"/>
      <c r="B59" s="499"/>
      <c r="C59" s="500"/>
      <c r="D59" s="501"/>
      <c r="E59" s="184"/>
      <c r="F59" s="499"/>
      <c r="G59" s="184"/>
      <c r="H59" s="499"/>
      <c r="I59" s="184"/>
      <c r="J59" s="499"/>
      <c r="K59" s="184"/>
      <c r="L59" s="184"/>
    </row>
    <row r="60" spans="1:256">
      <c r="A60" s="499"/>
      <c r="B60" s="499"/>
      <c r="C60" s="500"/>
      <c r="D60" s="501"/>
      <c r="E60" s="184"/>
      <c r="F60" s="499"/>
      <c r="G60" s="184"/>
      <c r="H60" s="499"/>
      <c r="I60" s="184"/>
      <c r="J60" s="499"/>
      <c r="K60" s="184"/>
      <c r="L60" s="184"/>
    </row>
    <row r="61" spans="1:256">
      <c r="A61" s="499"/>
      <c r="B61" s="499"/>
      <c r="C61" s="500"/>
      <c r="D61" s="501"/>
      <c r="E61" s="184"/>
      <c r="F61" s="499"/>
      <c r="G61" s="184"/>
      <c r="H61" s="499"/>
      <c r="I61" s="184"/>
      <c r="J61" s="499"/>
      <c r="K61" s="184"/>
      <c r="L61" s="184"/>
    </row>
    <row r="62" spans="1:256">
      <c r="A62" s="499"/>
      <c r="B62" s="499"/>
      <c r="C62" s="500"/>
      <c r="D62" s="501"/>
      <c r="E62" s="184"/>
      <c r="F62" s="499"/>
      <c r="G62" s="184"/>
      <c r="H62" s="499"/>
      <c r="I62" s="184"/>
      <c r="J62" s="499"/>
      <c r="K62" s="184"/>
      <c r="L62" s="184"/>
    </row>
    <row r="63" spans="1:256">
      <c r="A63" s="499"/>
      <c r="B63" s="499"/>
      <c r="C63" s="500"/>
      <c r="D63" s="501"/>
      <c r="E63" s="184"/>
      <c r="F63" s="499"/>
      <c r="G63" s="184"/>
      <c r="H63" s="499"/>
      <c r="I63" s="184"/>
      <c r="J63" s="499"/>
      <c r="K63" s="184"/>
      <c r="L63" s="184"/>
    </row>
    <row r="64" spans="1:256">
      <c r="A64" s="499"/>
      <c r="B64" s="499"/>
      <c r="C64" s="500"/>
      <c r="D64" s="501"/>
      <c r="E64" s="184"/>
      <c r="F64" s="499"/>
      <c r="G64" s="184"/>
      <c r="H64" s="499"/>
      <c r="I64" s="184"/>
      <c r="J64" s="499"/>
      <c r="K64" s="184"/>
      <c r="L64" s="184"/>
    </row>
    <row r="65" spans="1:12">
      <c r="A65" s="499"/>
      <c r="B65" s="499"/>
      <c r="C65" s="500"/>
      <c r="D65" s="501"/>
      <c r="E65" s="184"/>
      <c r="F65" s="499"/>
      <c r="G65" s="184"/>
      <c r="H65" s="499"/>
      <c r="I65" s="184"/>
      <c r="J65" s="499"/>
      <c r="K65" s="184"/>
      <c r="L65" s="184"/>
    </row>
    <row r="66" spans="1:12">
      <c r="A66" s="499"/>
      <c r="B66" s="499"/>
      <c r="C66" s="500"/>
      <c r="D66" s="501"/>
      <c r="E66" s="184"/>
      <c r="F66" s="499"/>
      <c r="G66" s="184"/>
      <c r="H66" s="499"/>
      <c r="I66" s="184"/>
      <c r="J66" s="499"/>
      <c r="K66" s="184"/>
      <c r="L66" s="184"/>
    </row>
    <row r="67" spans="1:12">
      <c r="A67" s="499"/>
      <c r="B67" s="499"/>
      <c r="C67" s="500"/>
      <c r="D67" s="501"/>
      <c r="E67" s="184"/>
      <c r="F67" s="499"/>
      <c r="G67" s="184"/>
      <c r="H67" s="499"/>
      <c r="I67" s="184"/>
      <c r="J67" s="499"/>
      <c r="K67" s="184"/>
      <c r="L67" s="184"/>
    </row>
    <row r="68" spans="1:12">
      <c r="A68" s="499"/>
      <c r="B68" s="499"/>
      <c r="C68" s="500"/>
      <c r="D68" s="501"/>
      <c r="E68" s="184"/>
      <c r="F68" s="499"/>
      <c r="G68" s="184"/>
      <c r="H68" s="499"/>
      <c r="I68" s="184"/>
      <c r="J68" s="499"/>
      <c r="K68" s="184"/>
      <c r="L68" s="184"/>
    </row>
    <row r="69" spans="1:12">
      <c r="A69" s="499"/>
      <c r="B69" s="499"/>
      <c r="C69" s="500"/>
      <c r="D69" s="501"/>
      <c r="E69" s="184"/>
      <c r="F69" s="499"/>
      <c r="G69" s="184"/>
      <c r="H69" s="499"/>
      <c r="I69" s="184"/>
      <c r="J69" s="499"/>
      <c r="K69" s="184"/>
      <c r="L69" s="184"/>
    </row>
    <row r="70" spans="1:12">
      <c r="A70" s="499"/>
      <c r="B70" s="499"/>
      <c r="C70" s="500"/>
      <c r="D70" s="501"/>
      <c r="E70" s="184"/>
      <c r="F70" s="499"/>
      <c r="G70" s="184"/>
      <c r="H70" s="499"/>
      <c r="I70" s="184"/>
      <c r="J70" s="499"/>
      <c r="K70" s="184"/>
      <c r="L70" s="184"/>
    </row>
    <row r="71" spans="1:12">
      <c r="A71" s="499"/>
      <c r="B71" s="499"/>
      <c r="C71" s="500"/>
      <c r="D71" s="501"/>
      <c r="E71" s="184"/>
      <c r="F71" s="499"/>
      <c r="G71" s="184"/>
      <c r="H71" s="499"/>
      <c r="I71" s="184"/>
      <c r="J71" s="499"/>
      <c r="K71" s="184"/>
      <c r="L71" s="184"/>
    </row>
    <row r="72" spans="1:12">
      <c r="A72" s="499"/>
      <c r="B72" s="499"/>
      <c r="C72" s="500"/>
      <c r="D72" s="501"/>
      <c r="E72" s="184"/>
      <c r="F72" s="499"/>
      <c r="G72" s="184"/>
      <c r="H72" s="499"/>
      <c r="I72" s="184"/>
      <c r="J72" s="499"/>
      <c r="K72" s="184"/>
      <c r="L72" s="184"/>
    </row>
    <row r="73" spans="1:12">
      <c r="A73" s="499"/>
      <c r="B73" s="499"/>
      <c r="C73" s="500"/>
      <c r="D73" s="501"/>
      <c r="E73" s="184"/>
      <c r="F73" s="499"/>
      <c r="G73" s="184"/>
      <c r="H73" s="499"/>
      <c r="I73" s="184"/>
      <c r="J73" s="499"/>
      <c r="K73" s="184"/>
      <c r="L73" s="184"/>
    </row>
    <row r="74" spans="1:12">
      <c r="A74" s="499"/>
      <c r="B74" s="499"/>
      <c r="C74" s="500"/>
      <c r="D74" s="501"/>
      <c r="E74" s="184"/>
      <c r="F74" s="499"/>
      <c r="G74" s="184"/>
      <c r="H74" s="499"/>
      <c r="I74" s="184"/>
      <c r="J74" s="499"/>
      <c r="K74" s="184"/>
      <c r="L74" s="184"/>
    </row>
    <row r="75" spans="1:12">
      <c r="A75" s="499"/>
      <c r="B75" s="499"/>
      <c r="C75" s="500"/>
      <c r="D75" s="501"/>
      <c r="E75" s="184"/>
      <c r="F75" s="499"/>
      <c r="G75" s="184"/>
      <c r="H75" s="499"/>
      <c r="I75" s="184"/>
      <c r="J75" s="499"/>
      <c r="K75" s="184"/>
      <c r="L75" s="184"/>
    </row>
    <row r="76" spans="1:12">
      <c r="A76" s="499"/>
      <c r="B76" s="499"/>
      <c r="C76" s="500"/>
      <c r="D76" s="501"/>
      <c r="E76" s="184"/>
      <c r="F76" s="499"/>
      <c r="G76" s="184"/>
      <c r="H76" s="499"/>
      <c r="I76" s="184"/>
      <c r="J76" s="499"/>
      <c r="K76" s="184"/>
      <c r="L76" s="184"/>
    </row>
    <row r="77" spans="1:12">
      <c r="A77" s="499"/>
      <c r="B77" s="499"/>
      <c r="C77" s="500"/>
      <c r="D77" s="501"/>
      <c r="E77" s="184"/>
      <c r="F77" s="499"/>
      <c r="G77" s="184"/>
      <c r="H77" s="499"/>
      <c r="I77" s="184"/>
      <c r="J77" s="499"/>
      <c r="K77" s="184"/>
      <c r="L77" s="184"/>
    </row>
    <row r="78" spans="1:12">
      <c r="A78" s="499"/>
      <c r="B78" s="499"/>
      <c r="C78" s="500"/>
      <c r="D78" s="501"/>
      <c r="E78" s="184"/>
      <c r="F78" s="499"/>
      <c r="G78" s="184"/>
      <c r="H78" s="499"/>
      <c r="I78" s="184"/>
      <c r="J78" s="499"/>
      <c r="K78" s="184"/>
      <c r="L78" s="184"/>
    </row>
    <row r="79" spans="1:12">
      <c r="A79" s="499"/>
      <c r="B79" s="499"/>
      <c r="C79" s="500"/>
      <c r="D79" s="501"/>
      <c r="E79" s="184"/>
      <c r="F79" s="499"/>
      <c r="G79" s="184"/>
      <c r="H79" s="499"/>
      <c r="I79" s="184"/>
      <c r="J79" s="499"/>
      <c r="K79" s="184"/>
      <c r="L79" s="184"/>
    </row>
    <row r="80" spans="1:12">
      <c r="A80" s="499"/>
      <c r="B80" s="499"/>
      <c r="C80" s="500"/>
      <c r="D80" s="501"/>
      <c r="E80" s="184"/>
      <c r="F80" s="499"/>
      <c r="G80" s="184"/>
      <c r="H80" s="499"/>
      <c r="I80" s="184"/>
      <c r="J80" s="499"/>
      <c r="K80" s="184"/>
      <c r="L80" s="184"/>
    </row>
    <row r="81" spans="1:12">
      <c r="A81" s="499"/>
      <c r="B81" s="499"/>
      <c r="C81" s="500"/>
      <c r="D81" s="501"/>
      <c r="E81" s="184"/>
      <c r="F81" s="499"/>
      <c r="G81" s="184"/>
      <c r="H81" s="499"/>
      <c r="I81" s="184"/>
      <c r="J81" s="499"/>
      <c r="K81" s="184"/>
      <c r="L81" s="184"/>
    </row>
    <row r="82" spans="1:12">
      <c r="A82" s="499"/>
      <c r="B82" s="499"/>
      <c r="C82" s="500"/>
      <c r="D82" s="501"/>
      <c r="E82" s="184"/>
      <c r="F82" s="499"/>
      <c r="G82" s="184"/>
      <c r="H82" s="499"/>
      <c r="I82" s="184"/>
      <c r="J82" s="499"/>
      <c r="K82" s="184"/>
      <c r="L82" s="184"/>
    </row>
    <row r="83" spans="1:12">
      <c r="A83" s="499"/>
      <c r="B83" s="499"/>
      <c r="C83" s="500"/>
      <c r="D83" s="501"/>
      <c r="E83" s="184"/>
      <c r="F83" s="499"/>
      <c r="G83" s="184"/>
      <c r="H83" s="499"/>
      <c r="I83" s="184"/>
      <c r="J83" s="499"/>
      <c r="K83" s="184"/>
      <c r="L83" s="184"/>
    </row>
    <row r="84" spans="1:12">
      <c r="A84" s="499"/>
      <c r="B84" s="499"/>
      <c r="C84" s="500"/>
      <c r="D84" s="501"/>
      <c r="E84" s="184"/>
      <c r="F84" s="499"/>
      <c r="G84" s="184"/>
      <c r="H84" s="499"/>
      <c r="I84" s="184"/>
      <c r="J84" s="499"/>
      <c r="K84" s="184"/>
      <c r="L84" s="184"/>
    </row>
  </sheetData>
  <sheetProtection algorithmName="SHA-512" hashValue="1Wr/Jqg1O6F0iwcwv8wHS1ECOZAraMbjNwshAudgBjGI1o6WKpG3SkUcgPmXDxKfuXV+y7yXntUYuCHZacREVQ==" saltValue="IWEh0W86uC2Q0LaVpJIvDg==" spinCount="100000" sheet="1" objects="1" scenarios="1"/>
  <hyperlinks>
    <hyperlink ref="A51" r:id="rId1" display="wyomingelectrician@gmail.com" xr:uid="{00000000-0004-0000-1A00-000000000000}"/>
  </hyperlinks>
  <pageMargins left="0.7" right="0.7" top="0.75" bottom="0.75" header="0.3" footer="0.3"/>
  <pageSetup orientation="portrait" horizontalDpi="1200" verticalDpi="1200"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C000"/>
    <pageSetUpPr fitToPage="1"/>
  </sheetPr>
  <dimension ref="A1:M43"/>
  <sheetViews>
    <sheetView topLeftCell="A10" workbookViewId="0">
      <selection activeCell="D3" sqref="D3"/>
    </sheetView>
  </sheetViews>
  <sheetFormatPr defaultColWidth="11.5703125" defaultRowHeight="12.75"/>
  <cols>
    <col min="1" max="1" width="9.5703125" style="474" customWidth="1"/>
    <col min="2" max="2" width="9.5703125" style="536" customWidth="1"/>
    <col min="3" max="11" width="9.5703125" style="527" customWidth="1"/>
    <col min="12" max="12" width="13" style="527" customWidth="1"/>
    <col min="13" max="16384" width="11.5703125" style="188"/>
  </cols>
  <sheetData>
    <row r="1" spans="1:13" s="505" customFormat="1">
      <c r="A1" s="473" t="s">
        <v>774</v>
      </c>
      <c r="B1" s="502"/>
      <c r="C1" s="503"/>
      <c r="D1" s="503"/>
      <c r="E1" s="503"/>
      <c r="F1" s="503"/>
      <c r="G1" s="503"/>
      <c r="H1" s="503"/>
      <c r="I1" s="503"/>
      <c r="J1" s="503"/>
      <c r="K1" s="503"/>
      <c r="L1" s="504"/>
    </row>
    <row r="2" spans="1:13" s="477" customFormat="1">
      <c r="A2" s="474"/>
      <c r="B2" s="506"/>
      <c r="C2" s="507"/>
      <c r="D2" s="507"/>
      <c r="E2" s="507"/>
      <c r="F2" s="507"/>
      <c r="G2" s="507"/>
      <c r="H2" s="507"/>
      <c r="I2" s="507"/>
      <c r="J2" s="507"/>
      <c r="K2" s="507"/>
      <c r="L2" s="508"/>
    </row>
    <row r="3" spans="1:13" s="477" customFormat="1">
      <c r="A3" s="815">
        <v>0.04</v>
      </c>
      <c r="B3" s="502" t="s">
        <v>771</v>
      </c>
      <c r="C3" s="507"/>
      <c r="D3" s="507"/>
      <c r="E3" s="507"/>
      <c r="F3" s="507"/>
      <c r="G3" s="507"/>
      <c r="H3" s="507"/>
      <c r="I3" s="507"/>
      <c r="J3" s="507"/>
      <c r="K3" s="507"/>
      <c r="L3" s="508"/>
    </row>
    <row r="4" spans="1:13" s="477" customFormat="1">
      <c r="A4" s="816">
        <v>60</v>
      </c>
      <c r="B4" s="502" t="s">
        <v>775</v>
      </c>
      <c r="C4" s="507"/>
      <c r="D4" s="507"/>
      <c r="E4" s="507"/>
      <c r="F4" s="507"/>
      <c r="G4" s="507"/>
      <c r="H4" s="507"/>
      <c r="I4" s="507"/>
      <c r="J4" s="507"/>
      <c r="K4" s="507"/>
      <c r="L4" s="508"/>
    </row>
    <row r="5" spans="1:13" ht="13.5" thickBot="1">
      <c r="B5" s="506"/>
      <c r="C5" s="250"/>
      <c r="D5" s="250"/>
      <c r="E5" s="250"/>
      <c r="F5" s="250"/>
      <c r="G5" s="250"/>
      <c r="H5" s="250"/>
      <c r="I5" s="250"/>
      <c r="J5" s="250"/>
      <c r="K5" s="250"/>
      <c r="L5" s="250"/>
    </row>
    <row r="6" spans="1:13" s="512" customFormat="1" ht="13.5" thickBot="1">
      <c r="A6" s="474"/>
      <c r="B6" s="506"/>
      <c r="C6" s="509">
        <v>2</v>
      </c>
      <c r="D6" s="510">
        <v>4</v>
      </c>
      <c r="E6" s="509">
        <v>6</v>
      </c>
      <c r="F6" s="510">
        <v>8</v>
      </c>
      <c r="G6" s="509">
        <v>10</v>
      </c>
      <c r="H6" s="510">
        <v>12</v>
      </c>
      <c r="I6" s="509">
        <v>14</v>
      </c>
      <c r="J6" s="510">
        <v>16</v>
      </c>
      <c r="K6" s="509">
        <v>18</v>
      </c>
      <c r="L6" s="511" t="s">
        <v>6</v>
      </c>
    </row>
    <row r="7" spans="1:13" s="512" customFormat="1" ht="13.5" thickBot="1">
      <c r="A7" s="499"/>
      <c r="B7" s="513"/>
      <c r="C7" s="514">
        <f>(120*$A$4)/C6</f>
        <v>3600</v>
      </c>
      <c r="D7" s="515">
        <f t="shared" ref="D7:K7" si="0">(120*$A$4)/D6</f>
        <v>1800</v>
      </c>
      <c r="E7" s="514">
        <f t="shared" si="0"/>
        <v>1200</v>
      </c>
      <c r="F7" s="515">
        <f t="shared" si="0"/>
        <v>900</v>
      </c>
      <c r="G7" s="514">
        <f t="shared" si="0"/>
        <v>720</v>
      </c>
      <c r="H7" s="515">
        <f t="shared" si="0"/>
        <v>600</v>
      </c>
      <c r="I7" s="514">
        <f t="shared" si="0"/>
        <v>514.28571428571433</v>
      </c>
      <c r="J7" s="515">
        <f t="shared" si="0"/>
        <v>450</v>
      </c>
      <c r="K7" s="514">
        <f t="shared" si="0"/>
        <v>400</v>
      </c>
      <c r="L7" s="516" t="s">
        <v>776</v>
      </c>
      <c r="M7" s="517" t="s">
        <v>777</v>
      </c>
    </row>
    <row r="8" spans="1:13" s="512" customFormat="1" ht="13.5" thickBot="1">
      <c r="A8" s="518" t="s">
        <v>275</v>
      </c>
      <c r="B8" s="519" t="s">
        <v>252</v>
      </c>
      <c r="C8" s="520">
        <f t="shared" ref="C8:K8" si="1">C$7-(C$7*$A$3)</f>
        <v>3456</v>
      </c>
      <c r="D8" s="521">
        <f t="shared" si="1"/>
        <v>1728</v>
      </c>
      <c r="E8" s="520">
        <f t="shared" si="1"/>
        <v>1152</v>
      </c>
      <c r="F8" s="521">
        <f t="shared" si="1"/>
        <v>864</v>
      </c>
      <c r="G8" s="520">
        <f t="shared" si="1"/>
        <v>691.2</v>
      </c>
      <c r="H8" s="521">
        <f t="shared" si="1"/>
        <v>576</v>
      </c>
      <c r="I8" s="520">
        <f t="shared" si="1"/>
        <v>493.71428571428578</v>
      </c>
      <c r="J8" s="521">
        <f t="shared" si="1"/>
        <v>432</v>
      </c>
      <c r="K8" s="520">
        <f t="shared" si="1"/>
        <v>384</v>
      </c>
      <c r="L8" s="522" t="s">
        <v>778</v>
      </c>
      <c r="M8" s="517" t="s">
        <v>779</v>
      </c>
    </row>
    <row r="9" spans="1:13">
      <c r="A9" s="523">
        <f t="shared" ref="A9:A34" si="2">B9*0.746</f>
        <v>0.373</v>
      </c>
      <c r="B9" s="524">
        <v>0.5</v>
      </c>
      <c r="C9" s="525">
        <f t="shared" ref="C9:K24" si="3">($B9*5252)/C$8</f>
        <v>0.75983796296296291</v>
      </c>
      <c r="D9" s="526">
        <f t="shared" si="3"/>
        <v>1.5196759259259258</v>
      </c>
      <c r="E9" s="525">
        <f t="shared" si="3"/>
        <v>2.2795138888888888</v>
      </c>
      <c r="F9" s="526">
        <f t="shared" si="3"/>
        <v>3.0393518518518516</v>
      </c>
      <c r="G9" s="525">
        <f t="shared" si="3"/>
        <v>3.7991898148148144</v>
      </c>
      <c r="H9" s="526">
        <f t="shared" si="3"/>
        <v>4.5590277777777777</v>
      </c>
      <c r="I9" s="525">
        <f t="shared" si="3"/>
        <v>5.3188657407407405</v>
      </c>
      <c r="J9" s="526">
        <f t="shared" si="3"/>
        <v>6.0787037037037033</v>
      </c>
      <c r="K9" s="525">
        <f t="shared" si="3"/>
        <v>6.838541666666667</v>
      </c>
    </row>
    <row r="10" spans="1:13">
      <c r="A10" s="528">
        <f t="shared" si="2"/>
        <v>0.5595</v>
      </c>
      <c r="B10" s="529">
        <v>0.75</v>
      </c>
      <c r="C10" s="530">
        <f t="shared" si="3"/>
        <v>1.1397569444444444</v>
      </c>
      <c r="D10" s="531">
        <f t="shared" si="3"/>
        <v>2.2795138888888888</v>
      </c>
      <c r="E10" s="530">
        <f t="shared" si="3"/>
        <v>3.4192708333333335</v>
      </c>
      <c r="F10" s="531">
        <f t="shared" si="3"/>
        <v>4.5590277777777777</v>
      </c>
      <c r="G10" s="530">
        <f t="shared" si="3"/>
        <v>5.6987847222222214</v>
      </c>
      <c r="H10" s="531">
        <f t="shared" si="3"/>
        <v>6.838541666666667</v>
      </c>
      <c r="I10" s="530">
        <f t="shared" si="3"/>
        <v>7.9782986111111098</v>
      </c>
      <c r="J10" s="531">
        <f t="shared" si="3"/>
        <v>9.1180555555555554</v>
      </c>
      <c r="K10" s="530">
        <f t="shared" si="3"/>
        <v>10.2578125</v>
      </c>
    </row>
    <row r="11" spans="1:13">
      <c r="A11" s="528">
        <f t="shared" si="2"/>
        <v>0.746</v>
      </c>
      <c r="B11" s="532">
        <v>1</v>
      </c>
      <c r="C11" s="533">
        <f t="shared" si="3"/>
        <v>1.5196759259259258</v>
      </c>
      <c r="D11" s="534">
        <f t="shared" si="3"/>
        <v>3.0393518518518516</v>
      </c>
      <c r="E11" s="533">
        <f t="shared" si="3"/>
        <v>4.5590277777777777</v>
      </c>
      <c r="F11" s="534">
        <f t="shared" si="3"/>
        <v>6.0787037037037033</v>
      </c>
      <c r="G11" s="533">
        <f t="shared" si="3"/>
        <v>7.5983796296296289</v>
      </c>
      <c r="H11" s="534">
        <f t="shared" si="3"/>
        <v>9.1180555555555554</v>
      </c>
      <c r="I11" s="533">
        <f t="shared" si="3"/>
        <v>10.637731481481481</v>
      </c>
      <c r="J11" s="534">
        <f t="shared" si="3"/>
        <v>12.157407407407407</v>
      </c>
      <c r="K11" s="533">
        <f t="shared" si="3"/>
        <v>13.677083333333334</v>
      </c>
    </row>
    <row r="12" spans="1:13">
      <c r="A12" s="528">
        <f t="shared" si="2"/>
        <v>1.119</v>
      </c>
      <c r="B12" s="535">
        <v>1.5</v>
      </c>
      <c r="C12" s="530">
        <f t="shared" si="3"/>
        <v>2.2795138888888888</v>
      </c>
      <c r="D12" s="531">
        <f t="shared" si="3"/>
        <v>4.5590277777777777</v>
      </c>
      <c r="E12" s="530">
        <f t="shared" si="3"/>
        <v>6.838541666666667</v>
      </c>
      <c r="F12" s="531">
        <f t="shared" si="3"/>
        <v>9.1180555555555554</v>
      </c>
      <c r="G12" s="530">
        <f t="shared" si="3"/>
        <v>11.397569444444443</v>
      </c>
      <c r="H12" s="531">
        <f t="shared" si="3"/>
        <v>13.677083333333334</v>
      </c>
      <c r="I12" s="530">
        <f t="shared" si="3"/>
        <v>15.95659722222222</v>
      </c>
      <c r="J12" s="531">
        <f t="shared" si="3"/>
        <v>18.236111111111111</v>
      </c>
      <c r="K12" s="530">
        <f t="shared" si="3"/>
        <v>20.515625</v>
      </c>
    </row>
    <row r="13" spans="1:13">
      <c r="A13" s="528">
        <f t="shared" si="2"/>
        <v>1.492</v>
      </c>
      <c r="B13" s="532">
        <v>2</v>
      </c>
      <c r="C13" s="533">
        <f t="shared" si="3"/>
        <v>3.0393518518518516</v>
      </c>
      <c r="D13" s="534">
        <f t="shared" si="3"/>
        <v>6.0787037037037033</v>
      </c>
      <c r="E13" s="533">
        <f t="shared" si="3"/>
        <v>9.1180555555555554</v>
      </c>
      <c r="F13" s="534">
        <f t="shared" si="3"/>
        <v>12.157407407407407</v>
      </c>
      <c r="G13" s="533">
        <f t="shared" si="3"/>
        <v>15.196759259259258</v>
      </c>
      <c r="H13" s="534">
        <f t="shared" si="3"/>
        <v>18.236111111111111</v>
      </c>
      <c r="I13" s="533">
        <f t="shared" si="3"/>
        <v>21.275462962962962</v>
      </c>
      <c r="J13" s="534">
        <f t="shared" si="3"/>
        <v>24.314814814814813</v>
      </c>
      <c r="K13" s="533">
        <f t="shared" si="3"/>
        <v>27.354166666666668</v>
      </c>
    </row>
    <row r="14" spans="1:13">
      <c r="A14" s="528">
        <f t="shared" si="2"/>
        <v>2.238</v>
      </c>
      <c r="B14" s="532">
        <v>3</v>
      </c>
      <c r="C14" s="530">
        <f t="shared" si="3"/>
        <v>4.5590277777777777</v>
      </c>
      <c r="D14" s="531">
        <f t="shared" si="3"/>
        <v>9.1180555555555554</v>
      </c>
      <c r="E14" s="530">
        <f t="shared" si="3"/>
        <v>13.677083333333334</v>
      </c>
      <c r="F14" s="531">
        <f t="shared" si="3"/>
        <v>18.236111111111111</v>
      </c>
      <c r="G14" s="530">
        <f t="shared" si="3"/>
        <v>22.795138888888886</v>
      </c>
      <c r="H14" s="531">
        <f t="shared" si="3"/>
        <v>27.354166666666668</v>
      </c>
      <c r="I14" s="530">
        <f t="shared" si="3"/>
        <v>31.913194444444439</v>
      </c>
      <c r="J14" s="531">
        <f t="shared" si="3"/>
        <v>36.472222222222221</v>
      </c>
      <c r="K14" s="530">
        <f t="shared" si="3"/>
        <v>41.03125</v>
      </c>
    </row>
    <row r="15" spans="1:13">
      <c r="A15" s="528">
        <f t="shared" si="2"/>
        <v>3.73</v>
      </c>
      <c r="B15" s="532">
        <v>5</v>
      </c>
      <c r="C15" s="533">
        <f t="shared" si="3"/>
        <v>7.5983796296296298</v>
      </c>
      <c r="D15" s="534">
        <f t="shared" si="3"/>
        <v>15.19675925925926</v>
      </c>
      <c r="E15" s="533">
        <f t="shared" si="3"/>
        <v>22.795138888888889</v>
      </c>
      <c r="F15" s="534">
        <f t="shared" si="3"/>
        <v>30.393518518518519</v>
      </c>
      <c r="G15" s="533">
        <f t="shared" si="3"/>
        <v>37.991898148148145</v>
      </c>
      <c r="H15" s="534">
        <f t="shared" si="3"/>
        <v>45.590277777777779</v>
      </c>
      <c r="I15" s="533">
        <f t="shared" si="3"/>
        <v>53.188657407407398</v>
      </c>
      <c r="J15" s="534">
        <f t="shared" si="3"/>
        <v>60.787037037037038</v>
      </c>
      <c r="K15" s="533">
        <f t="shared" si="3"/>
        <v>68.385416666666671</v>
      </c>
    </row>
    <row r="16" spans="1:13">
      <c r="A16" s="528">
        <f t="shared" si="2"/>
        <v>5.5949999999999998</v>
      </c>
      <c r="B16" s="535">
        <v>7.5</v>
      </c>
      <c r="C16" s="530">
        <f t="shared" si="3"/>
        <v>11.397569444444445</v>
      </c>
      <c r="D16" s="531">
        <f t="shared" si="3"/>
        <v>22.795138888888889</v>
      </c>
      <c r="E16" s="530">
        <f t="shared" si="3"/>
        <v>34.192708333333336</v>
      </c>
      <c r="F16" s="531">
        <f t="shared" si="3"/>
        <v>45.590277777777779</v>
      </c>
      <c r="G16" s="530">
        <f t="shared" si="3"/>
        <v>56.987847222222221</v>
      </c>
      <c r="H16" s="531">
        <f t="shared" si="3"/>
        <v>68.385416666666671</v>
      </c>
      <c r="I16" s="530">
        <f t="shared" si="3"/>
        <v>79.7829861111111</v>
      </c>
      <c r="J16" s="531">
        <f t="shared" si="3"/>
        <v>91.180555555555557</v>
      </c>
      <c r="K16" s="530">
        <f t="shared" si="3"/>
        <v>102.578125</v>
      </c>
    </row>
    <row r="17" spans="1:11">
      <c r="A17" s="528">
        <f t="shared" si="2"/>
        <v>7.46</v>
      </c>
      <c r="B17" s="532">
        <v>10</v>
      </c>
      <c r="C17" s="533">
        <f t="shared" si="3"/>
        <v>15.19675925925926</v>
      </c>
      <c r="D17" s="534">
        <f t="shared" si="3"/>
        <v>30.393518518518519</v>
      </c>
      <c r="E17" s="533">
        <f t="shared" si="3"/>
        <v>45.590277777777779</v>
      </c>
      <c r="F17" s="534">
        <f t="shared" si="3"/>
        <v>60.787037037037038</v>
      </c>
      <c r="G17" s="533">
        <f t="shared" si="3"/>
        <v>75.983796296296291</v>
      </c>
      <c r="H17" s="534">
        <f t="shared" si="3"/>
        <v>91.180555555555557</v>
      </c>
      <c r="I17" s="533">
        <f t="shared" si="3"/>
        <v>106.3773148148148</v>
      </c>
      <c r="J17" s="534">
        <f t="shared" si="3"/>
        <v>121.57407407407408</v>
      </c>
      <c r="K17" s="533">
        <f t="shared" si="3"/>
        <v>136.77083333333334</v>
      </c>
    </row>
    <row r="18" spans="1:11">
      <c r="A18" s="488">
        <f t="shared" si="2"/>
        <v>11.19</v>
      </c>
      <c r="B18" s="532">
        <v>15</v>
      </c>
      <c r="C18" s="530">
        <f t="shared" si="3"/>
        <v>22.795138888888889</v>
      </c>
      <c r="D18" s="531">
        <f t="shared" si="3"/>
        <v>45.590277777777779</v>
      </c>
      <c r="E18" s="530">
        <f t="shared" si="3"/>
        <v>68.385416666666671</v>
      </c>
      <c r="F18" s="531">
        <f t="shared" si="3"/>
        <v>91.180555555555557</v>
      </c>
      <c r="G18" s="530">
        <f t="shared" si="3"/>
        <v>113.97569444444444</v>
      </c>
      <c r="H18" s="531">
        <f t="shared" si="3"/>
        <v>136.77083333333334</v>
      </c>
      <c r="I18" s="530">
        <f t="shared" si="3"/>
        <v>159.5659722222222</v>
      </c>
      <c r="J18" s="531">
        <f t="shared" si="3"/>
        <v>182.36111111111111</v>
      </c>
      <c r="K18" s="530">
        <f t="shared" si="3"/>
        <v>205.15625</v>
      </c>
    </row>
    <row r="19" spans="1:11">
      <c r="A19" s="488">
        <f t="shared" si="2"/>
        <v>14.92</v>
      </c>
      <c r="B19" s="532">
        <v>20</v>
      </c>
      <c r="C19" s="533">
        <f t="shared" si="3"/>
        <v>30.393518518518519</v>
      </c>
      <c r="D19" s="534">
        <f t="shared" si="3"/>
        <v>60.787037037037038</v>
      </c>
      <c r="E19" s="533">
        <f t="shared" si="3"/>
        <v>91.180555555555557</v>
      </c>
      <c r="F19" s="534">
        <f t="shared" si="3"/>
        <v>121.57407407407408</v>
      </c>
      <c r="G19" s="533">
        <f t="shared" si="3"/>
        <v>151.96759259259258</v>
      </c>
      <c r="H19" s="534">
        <f t="shared" si="3"/>
        <v>182.36111111111111</v>
      </c>
      <c r="I19" s="533">
        <f t="shared" si="3"/>
        <v>212.75462962962959</v>
      </c>
      <c r="J19" s="534">
        <f t="shared" si="3"/>
        <v>243.14814814814815</v>
      </c>
      <c r="K19" s="533">
        <f t="shared" si="3"/>
        <v>273.54166666666669</v>
      </c>
    </row>
    <row r="20" spans="1:11">
      <c r="A20" s="488">
        <f t="shared" si="2"/>
        <v>18.649999999999999</v>
      </c>
      <c r="B20" s="532">
        <v>25</v>
      </c>
      <c r="C20" s="530">
        <f t="shared" si="3"/>
        <v>37.991898148148145</v>
      </c>
      <c r="D20" s="531">
        <f t="shared" si="3"/>
        <v>75.983796296296291</v>
      </c>
      <c r="E20" s="530">
        <f t="shared" si="3"/>
        <v>113.97569444444444</v>
      </c>
      <c r="F20" s="531">
        <f t="shared" si="3"/>
        <v>151.96759259259258</v>
      </c>
      <c r="G20" s="530">
        <f t="shared" si="3"/>
        <v>189.95949074074073</v>
      </c>
      <c r="H20" s="531">
        <f t="shared" si="3"/>
        <v>227.95138888888889</v>
      </c>
      <c r="I20" s="530">
        <f t="shared" si="3"/>
        <v>265.94328703703701</v>
      </c>
      <c r="J20" s="531">
        <f t="shared" si="3"/>
        <v>303.93518518518516</v>
      </c>
      <c r="K20" s="530">
        <f t="shared" si="3"/>
        <v>341.92708333333331</v>
      </c>
    </row>
    <row r="21" spans="1:11">
      <c r="A21" s="488">
        <f t="shared" si="2"/>
        <v>22.38</v>
      </c>
      <c r="B21" s="532">
        <v>30</v>
      </c>
      <c r="C21" s="533">
        <f t="shared" si="3"/>
        <v>45.590277777777779</v>
      </c>
      <c r="D21" s="534">
        <f t="shared" si="3"/>
        <v>91.180555555555557</v>
      </c>
      <c r="E21" s="533">
        <f t="shared" si="3"/>
        <v>136.77083333333334</v>
      </c>
      <c r="F21" s="534">
        <f t="shared" si="3"/>
        <v>182.36111111111111</v>
      </c>
      <c r="G21" s="533">
        <f t="shared" si="3"/>
        <v>227.95138888888889</v>
      </c>
      <c r="H21" s="534">
        <f t="shared" si="3"/>
        <v>273.54166666666669</v>
      </c>
      <c r="I21" s="533">
        <f t="shared" si="3"/>
        <v>319.1319444444444</v>
      </c>
      <c r="J21" s="534">
        <f t="shared" si="3"/>
        <v>364.72222222222223</v>
      </c>
      <c r="K21" s="533">
        <f t="shared" si="3"/>
        <v>410.3125</v>
      </c>
    </row>
    <row r="22" spans="1:11">
      <c r="A22" s="488">
        <f t="shared" si="2"/>
        <v>29.84</v>
      </c>
      <c r="B22" s="532">
        <v>40</v>
      </c>
      <c r="C22" s="530">
        <f t="shared" si="3"/>
        <v>60.787037037037038</v>
      </c>
      <c r="D22" s="531">
        <f t="shared" si="3"/>
        <v>121.57407407407408</v>
      </c>
      <c r="E22" s="530">
        <f t="shared" si="3"/>
        <v>182.36111111111111</v>
      </c>
      <c r="F22" s="531">
        <f t="shared" si="3"/>
        <v>243.14814814814815</v>
      </c>
      <c r="G22" s="530">
        <f t="shared" si="3"/>
        <v>303.93518518518516</v>
      </c>
      <c r="H22" s="531">
        <f t="shared" si="3"/>
        <v>364.72222222222223</v>
      </c>
      <c r="I22" s="530">
        <f t="shared" si="3"/>
        <v>425.50925925925918</v>
      </c>
      <c r="J22" s="531">
        <f t="shared" si="3"/>
        <v>486.2962962962963</v>
      </c>
      <c r="K22" s="530">
        <f t="shared" si="3"/>
        <v>547.08333333333337</v>
      </c>
    </row>
    <row r="23" spans="1:11">
      <c r="A23" s="488">
        <f t="shared" si="2"/>
        <v>37.299999999999997</v>
      </c>
      <c r="B23" s="532">
        <v>50</v>
      </c>
      <c r="C23" s="533">
        <f t="shared" si="3"/>
        <v>75.983796296296291</v>
      </c>
      <c r="D23" s="534">
        <f t="shared" si="3"/>
        <v>151.96759259259258</v>
      </c>
      <c r="E23" s="533">
        <f t="shared" si="3"/>
        <v>227.95138888888889</v>
      </c>
      <c r="F23" s="534">
        <f t="shared" si="3"/>
        <v>303.93518518518516</v>
      </c>
      <c r="G23" s="533">
        <f t="shared" si="3"/>
        <v>379.91898148148147</v>
      </c>
      <c r="H23" s="534">
        <f t="shared" si="3"/>
        <v>455.90277777777777</v>
      </c>
      <c r="I23" s="533">
        <f t="shared" si="3"/>
        <v>531.88657407407402</v>
      </c>
      <c r="J23" s="534">
        <f t="shared" si="3"/>
        <v>607.87037037037032</v>
      </c>
      <c r="K23" s="533">
        <f t="shared" si="3"/>
        <v>683.85416666666663</v>
      </c>
    </row>
    <row r="24" spans="1:11">
      <c r="A24" s="488">
        <f t="shared" si="2"/>
        <v>44.76</v>
      </c>
      <c r="B24" s="532">
        <v>60</v>
      </c>
      <c r="C24" s="530">
        <f t="shared" si="3"/>
        <v>91.180555555555557</v>
      </c>
      <c r="D24" s="531">
        <f t="shared" si="3"/>
        <v>182.36111111111111</v>
      </c>
      <c r="E24" s="530">
        <f t="shared" si="3"/>
        <v>273.54166666666669</v>
      </c>
      <c r="F24" s="531">
        <f t="shared" si="3"/>
        <v>364.72222222222223</v>
      </c>
      <c r="G24" s="530">
        <f t="shared" si="3"/>
        <v>455.90277777777777</v>
      </c>
      <c r="H24" s="531">
        <f t="shared" si="3"/>
        <v>547.08333333333337</v>
      </c>
      <c r="I24" s="530">
        <f t="shared" si="3"/>
        <v>638.2638888888888</v>
      </c>
      <c r="J24" s="531">
        <f t="shared" si="3"/>
        <v>729.44444444444446</v>
      </c>
      <c r="K24" s="530">
        <f t="shared" si="3"/>
        <v>820.625</v>
      </c>
    </row>
    <row r="25" spans="1:11">
      <c r="A25" s="488">
        <f t="shared" si="2"/>
        <v>55.95</v>
      </c>
      <c r="B25" s="532">
        <v>75</v>
      </c>
      <c r="C25" s="533">
        <f t="shared" ref="C25:K34" si="4">($B25*5252)/C$8</f>
        <v>113.97569444444444</v>
      </c>
      <c r="D25" s="534">
        <f t="shared" si="4"/>
        <v>227.95138888888889</v>
      </c>
      <c r="E25" s="533">
        <f t="shared" si="4"/>
        <v>341.92708333333331</v>
      </c>
      <c r="F25" s="534">
        <f t="shared" si="4"/>
        <v>455.90277777777777</v>
      </c>
      <c r="G25" s="533">
        <f t="shared" si="4"/>
        <v>569.87847222222217</v>
      </c>
      <c r="H25" s="534">
        <f t="shared" si="4"/>
        <v>683.85416666666663</v>
      </c>
      <c r="I25" s="533">
        <f t="shared" si="4"/>
        <v>797.82986111111097</v>
      </c>
      <c r="J25" s="534">
        <f t="shared" si="4"/>
        <v>911.80555555555554</v>
      </c>
      <c r="K25" s="533">
        <f t="shared" si="4"/>
        <v>1025.78125</v>
      </c>
    </row>
    <row r="26" spans="1:11">
      <c r="A26" s="488">
        <f t="shared" si="2"/>
        <v>74.599999999999994</v>
      </c>
      <c r="B26" s="532">
        <v>100</v>
      </c>
      <c r="C26" s="530">
        <f t="shared" si="4"/>
        <v>151.96759259259258</v>
      </c>
      <c r="D26" s="531">
        <f t="shared" si="4"/>
        <v>303.93518518518516</v>
      </c>
      <c r="E26" s="530">
        <f t="shared" si="4"/>
        <v>455.90277777777777</v>
      </c>
      <c r="F26" s="531">
        <f t="shared" si="4"/>
        <v>607.87037037037032</v>
      </c>
      <c r="G26" s="530">
        <f t="shared" si="4"/>
        <v>759.83796296296293</v>
      </c>
      <c r="H26" s="531">
        <f t="shared" si="4"/>
        <v>911.80555555555554</v>
      </c>
      <c r="I26" s="530">
        <f t="shared" si="4"/>
        <v>1063.773148148148</v>
      </c>
      <c r="J26" s="531">
        <f t="shared" si="4"/>
        <v>1215.7407407407406</v>
      </c>
      <c r="K26" s="530">
        <f t="shared" si="4"/>
        <v>1367.7083333333333</v>
      </c>
    </row>
    <row r="27" spans="1:11">
      <c r="A27" s="488">
        <f t="shared" si="2"/>
        <v>93.25</v>
      </c>
      <c r="B27" s="532">
        <v>125</v>
      </c>
      <c r="C27" s="533">
        <f t="shared" si="4"/>
        <v>189.95949074074073</v>
      </c>
      <c r="D27" s="534">
        <f t="shared" si="4"/>
        <v>379.91898148148147</v>
      </c>
      <c r="E27" s="533">
        <f t="shared" si="4"/>
        <v>569.87847222222217</v>
      </c>
      <c r="F27" s="534">
        <f t="shared" si="4"/>
        <v>759.83796296296293</v>
      </c>
      <c r="G27" s="533">
        <f t="shared" si="4"/>
        <v>949.7974537037037</v>
      </c>
      <c r="H27" s="534">
        <f t="shared" si="4"/>
        <v>1139.7569444444443</v>
      </c>
      <c r="I27" s="533">
        <f t="shared" si="4"/>
        <v>1329.716435185185</v>
      </c>
      <c r="J27" s="534">
        <f t="shared" si="4"/>
        <v>1519.6759259259259</v>
      </c>
      <c r="K27" s="533">
        <f t="shared" si="4"/>
        <v>1709.6354166666667</v>
      </c>
    </row>
    <row r="28" spans="1:11">
      <c r="A28" s="488">
        <f t="shared" si="2"/>
        <v>111.9</v>
      </c>
      <c r="B28" s="532">
        <v>150</v>
      </c>
      <c r="C28" s="530">
        <f t="shared" si="4"/>
        <v>227.95138888888889</v>
      </c>
      <c r="D28" s="531">
        <f t="shared" si="4"/>
        <v>455.90277777777777</v>
      </c>
      <c r="E28" s="530">
        <f t="shared" si="4"/>
        <v>683.85416666666663</v>
      </c>
      <c r="F28" s="531">
        <f t="shared" si="4"/>
        <v>911.80555555555554</v>
      </c>
      <c r="G28" s="530">
        <f t="shared" si="4"/>
        <v>1139.7569444444443</v>
      </c>
      <c r="H28" s="531">
        <f t="shared" si="4"/>
        <v>1367.7083333333333</v>
      </c>
      <c r="I28" s="530">
        <f t="shared" si="4"/>
        <v>1595.6597222222219</v>
      </c>
      <c r="J28" s="531">
        <f t="shared" si="4"/>
        <v>1823.6111111111111</v>
      </c>
      <c r="K28" s="530">
        <f t="shared" si="4"/>
        <v>2051.5625</v>
      </c>
    </row>
    <row r="29" spans="1:11">
      <c r="A29" s="488">
        <f t="shared" si="2"/>
        <v>149.19999999999999</v>
      </c>
      <c r="B29" s="532">
        <v>200</v>
      </c>
      <c r="C29" s="533">
        <f t="shared" si="4"/>
        <v>303.93518518518516</v>
      </c>
      <c r="D29" s="534">
        <f t="shared" si="4"/>
        <v>607.87037037037032</v>
      </c>
      <c r="E29" s="533">
        <f t="shared" si="4"/>
        <v>911.80555555555554</v>
      </c>
      <c r="F29" s="534">
        <f t="shared" si="4"/>
        <v>1215.7407407407406</v>
      </c>
      <c r="G29" s="533">
        <f t="shared" si="4"/>
        <v>1519.6759259259259</v>
      </c>
      <c r="H29" s="534">
        <f t="shared" si="4"/>
        <v>1823.6111111111111</v>
      </c>
      <c r="I29" s="533">
        <f t="shared" si="4"/>
        <v>2127.5462962962961</v>
      </c>
      <c r="J29" s="534">
        <f t="shared" si="4"/>
        <v>2431.4814814814813</v>
      </c>
      <c r="K29" s="533">
        <f t="shared" si="4"/>
        <v>2735.4166666666665</v>
      </c>
    </row>
    <row r="30" spans="1:11">
      <c r="A30" s="488">
        <f t="shared" si="2"/>
        <v>186.5</v>
      </c>
      <c r="B30" s="532">
        <v>250</v>
      </c>
      <c r="C30" s="530">
        <f t="shared" si="4"/>
        <v>379.91898148148147</v>
      </c>
      <c r="D30" s="531">
        <f t="shared" si="4"/>
        <v>759.83796296296293</v>
      </c>
      <c r="E30" s="530">
        <f t="shared" si="4"/>
        <v>1139.7569444444443</v>
      </c>
      <c r="F30" s="531">
        <f t="shared" si="4"/>
        <v>1519.6759259259259</v>
      </c>
      <c r="G30" s="530">
        <f t="shared" si="4"/>
        <v>1899.5949074074074</v>
      </c>
      <c r="H30" s="531">
        <f t="shared" si="4"/>
        <v>2279.5138888888887</v>
      </c>
      <c r="I30" s="530">
        <f t="shared" si="4"/>
        <v>2659.43287037037</v>
      </c>
      <c r="J30" s="531">
        <f t="shared" si="4"/>
        <v>3039.3518518518517</v>
      </c>
      <c r="K30" s="530">
        <f t="shared" si="4"/>
        <v>3419.2708333333335</v>
      </c>
    </row>
    <row r="31" spans="1:11">
      <c r="A31" s="488">
        <f t="shared" si="2"/>
        <v>223.8</v>
      </c>
      <c r="B31" s="532">
        <v>300</v>
      </c>
      <c r="C31" s="533">
        <f t="shared" si="4"/>
        <v>455.90277777777777</v>
      </c>
      <c r="D31" s="534">
        <f t="shared" si="4"/>
        <v>911.80555555555554</v>
      </c>
      <c r="E31" s="533">
        <f t="shared" si="4"/>
        <v>1367.7083333333333</v>
      </c>
      <c r="F31" s="534">
        <f t="shared" si="4"/>
        <v>1823.6111111111111</v>
      </c>
      <c r="G31" s="533">
        <f t="shared" si="4"/>
        <v>2279.5138888888887</v>
      </c>
      <c r="H31" s="534">
        <f t="shared" si="4"/>
        <v>2735.4166666666665</v>
      </c>
      <c r="I31" s="533">
        <f t="shared" si="4"/>
        <v>3191.3194444444439</v>
      </c>
      <c r="J31" s="534">
        <f t="shared" si="4"/>
        <v>3647.2222222222222</v>
      </c>
      <c r="K31" s="533">
        <f t="shared" si="4"/>
        <v>4103.125</v>
      </c>
    </row>
    <row r="32" spans="1:11">
      <c r="A32" s="488">
        <f t="shared" si="2"/>
        <v>261.10000000000002</v>
      </c>
      <c r="B32" s="532">
        <v>350</v>
      </c>
      <c r="C32" s="530">
        <f t="shared" si="4"/>
        <v>531.88657407407402</v>
      </c>
      <c r="D32" s="531">
        <f t="shared" si="4"/>
        <v>1063.773148148148</v>
      </c>
      <c r="E32" s="530">
        <f t="shared" si="4"/>
        <v>1595.6597222222222</v>
      </c>
      <c r="F32" s="531">
        <f t="shared" si="4"/>
        <v>2127.5462962962961</v>
      </c>
      <c r="G32" s="530">
        <f t="shared" si="4"/>
        <v>2659.43287037037</v>
      </c>
      <c r="H32" s="531">
        <f t="shared" si="4"/>
        <v>3191.3194444444443</v>
      </c>
      <c r="I32" s="530">
        <f t="shared" si="4"/>
        <v>3723.2060185185182</v>
      </c>
      <c r="J32" s="531">
        <f t="shared" si="4"/>
        <v>4255.0925925925922</v>
      </c>
      <c r="K32" s="530">
        <f t="shared" si="4"/>
        <v>4786.979166666667</v>
      </c>
    </row>
    <row r="33" spans="1:12">
      <c r="A33" s="488">
        <f t="shared" si="2"/>
        <v>298.39999999999998</v>
      </c>
      <c r="B33" s="532">
        <v>400</v>
      </c>
      <c r="C33" s="533">
        <f t="shared" si="4"/>
        <v>607.87037037037032</v>
      </c>
      <c r="D33" s="534">
        <f t="shared" si="4"/>
        <v>1215.7407407407406</v>
      </c>
      <c r="E33" s="533">
        <f t="shared" si="4"/>
        <v>1823.6111111111111</v>
      </c>
      <c r="F33" s="534">
        <f t="shared" si="4"/>
        <v>2431.4814814814813</v>
      </c>
      <c r="G33" s="533">
        <f t="shared" si="4"/>
        <v>3039.3518518518517</v>
      </c>
      <c r="H33" s="534">
        <f t="shared" si="4"/>
        <v>3647.2222222222222</v>
      </c>
      <c r="I33" s="533">
        <f t="shared" si="4"/>
        <v>4255.0925925925922</v>
      </c>
      <c r="J33" s="534">
        <f t="shared" si="4"/>
        <v>4862.9629629629626</v>
      </c>
      <c r="K33" s="533">
        <f t="shared" si="4"/>
        <v>5470.833333333333</v>
      </c>
    </row>
    <row r="34" spans="1:12">
      <c r="A34" s="488">
        <f t="shared" si="2"/>
        <v>335.7</v>
      </c>
      <c r="B34" s="532">
        <v>450</v>
      </c>
      <c r="C34" s="530">
        <f t="shared" si="4"/>
        <v>683.85416666666663</v>
      </c>
      <c r="D34" s="531">
        <f t="shared" si="4"/>
        <v>1367.7083333333333</v>
      </c>
      <c r="E34" s="530">
        <f t="shared" si="4"/>
        <v>2051.5625</v>
      </c>
      <c r="F34" s="531">
        <f t="shared" si="4"/>
        <v>2735.4166666666665</v>
      </c>
      <c r="G34" s="530">
        <f t="shared" si="4"/>
        <v>3419.270833333333</v>
      </c>
      <c r="H34" s="531">
        <f t="shared" si="4"/>
        <v>4103.125</v>
      </c>
      <c r="I34" s="530">
        <f t="shared" si="4"/>
        <v>4786.9791666666661</v>
      </c>
      <c r="J34" s="531">
        <f t="shared" si="4"/>
        <v>5470.833333333333</v>
      </c>
      <c r="K34" s="530">
        <f t="shared" si="4"/>
        <v>6154.6875</v>
      </c>
    </row>
    <row r="36" spans="1:12">
      <c r="A36" s="473" t="s">
        <v>780</v>
      </c>
    </row>
    <row r="37" spans="1:12">
      <c r="A37" s="473"/>
    </row>
    <row r="38" spans="1:12">
      <c r="A38" s="379" t="s">
        <v>666</v>
      </c>
      <c r="B38" s="250"/>
      <c r="C38" s="250"/>
      <c r="D38" s="188"/>
      <c r="E38" s="188"/>
      <c r="F38" s="188"/>
      <c r="G38" s="188"/>
      <c r="H38" s="188"/>
      <c r="I38" s="188"/>
      <c r="J38" s="188"/>
      <c r="K38" s="188"/>
      <c r="L38" s="188"/>
    </row>
    <row r="39" spans="1:12">
      <c r="A39" s="380" t="s">
        <v>762</v>
      </c>
      <c r="B39" s="250"/>
      <c r="C39" s="250"/>
    </row>
    <row r="40" spans="1:12">
      <c r="A40" s="136" t="s">
        <v>763</v>
      </c>
      <c r="B40" s="250"/>
      <c r="C40" s="250"/>
    </row>
    <row r="41" spans="1:12">
      <c r="A41" s="379" t="s">
        <v>766</v>
      </c>
      <c r="B41" s="250"/>
      <c r="C41" s="250"/>
    </row>
    <row r="42" spans="1:12">
      <c r="A42" s="379" t="s">
        <v>3</v>
      </c>
      <c r="B42" s="250"/>
      <c r="C42" s="250"/>
    </row>
    <row r="43" spans="1:12">
      <c r="A43" s="512"/>
      <c r="B43" s="250"/>
      <c r="C43" s="250"/>
    </row>
  </sheetData>
  <sheetProtection algorithmName="SHA-512" hashValue="rFP9u5GVN3CXDcgkRKnNbEtWwNUcQ2o8zPXXoCZxpyIOKrqyYUXIfZTMnwWQotrahHXfHLukLpquzXCcAZCKGw==" saltValue="PjMiw6sin6a0DRFOyezkfQ==" spinCount="100000" sheet="1" objects="1" scenarios="1"/>
  <hyperlinks>
    <hyperlink ref="A39" r:id="rId1" display="wyomingelectrician@gmail.com" xr:uid="{00000000-0004-0000-1B00-000000000000}"/>
  </hyperlinks>
  <pageMargins left="0.7" right="0.7" top="0.75" bottom="0.75" header="0.3" footer="0.3"/>
  <pageSetup scale="95" orientation="landscape" horizontalDpi="1200" verticalDpi="1200"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sheetPr>
  <dimension ref="A1:N64"/>
  <sheetViews>
    <sheetView topLeftCell="A4" zoomScaleNormal="100" workbookViewId="0">
      <selection activeCell="I10" sqref="I10"/>
    </sheetView>
  </sheetViews>
  <sheetFormatPr defaultColWidth="10.42578125" defaultRowHeight="12.75"/>
  <cols>
    <col min="1" max="3" width="23.5703125" style="250" customWidth="1"/>
    <col min="4" max="4" width="23.5703125" style="184" customWidth="1"/>
    <col min="5" max="5" width="3.5703125" style="250" customWidth="1"/>
    <col min="6" max="9" width="23.5703125" style="250" customWidth="1"/>
    <col min="10" max="16384" width="10.42578125" style="250"/>
  </cols>
  <sheetData>
    <row r="1" spans="1:9" ht="15">
      <c r="A1" s="385" t="s">
        <v>885</v>
      </c>
    </row>
    <row r="2" spans="1:9" ht="15">
      <c r="A2" s="385"/>
    </row>
    <row r="3" spans="1:9" ht="15">
      <c r="A3" s="1282" t="s">
        <v>886</v>
      </c>
      <c r="B3" s="1282"/>
      <c r="C3" s="1282"/>
      <c r="D3" s="1282"/>
      <c r="F3" s="1282" t="s">
        <v>887</v>
      </c>
      <c r="G3" s="1282"/>
      <c r="H3" s="1282"/>
      <c r="I3" s="1282"/>
    </row>
    <row r="4" spans="1:9" ht="15">
      <c r="A4" s="1283" t="s">
        <v>888</v>
      </c>
      <c r="B4" s="1283"/>
      <c r="C4" s="1284" t="s">
        <v>889</v>
      </c>
      <c r="D4" s="1284"/>
      <c r="F4" s="1283" t="s">
        <v>888</v>
      </c>
      <c r="G4" s="1283"/>
      <c r="H4" s="1284" t="s">
        <v>890</v>
      </c>
      <c r="I4" s="1284"/>
    </row>
    <row r="5" spans="1:9" ht="15">
      <c r="A5" s="594" t="s">
        <v>891</v>
      </c>
      <c r="B5" s="386" t="s">
        <v>892</v>
      </c>
      <c r="C5" s="594" t="s">
        <v>893</v>
      </c>
      <c r="D5" s="595" t="s">
        <v>894</v>
      </c>
      <c r="F5" s="594" t="s">
        <v>891</v>
      </c>
      <c r="G5" s="386" t="s">
        <v>892</v>
      </c>
      <c r="H5" s="594" t="s">
        <v>893</v>
      </c>
      <c r="I5" s="595" t="s">
        <v>894</v>
      </c>
    </row>
    <row r="6" spans="1:9">
      <c r="A6" s="594" t="s">
        <v>895</v>
      </c>
      <c r="B6" s="643" t="s">
        <v>896</v>
      </c>
      <c r="C6" s="594" t="s">
        <v>896</v>
      </c>
      <c r="D6" s="595" t="s">
        <v>896</v>
      </c>
      <c r="F6" s="594" t="s">
        <v>895</v>
      </c>
      <c r="G6" s="643" t="s">
        <v>897</v>
      </c>
      <c r="H6" s="594" t="s">
        <v>897</v>
      </c>
      <c r="I6" s="595" t="s">
        <v>897</v>
      </c>
    </row>
    <row r="7" spans="1:9">
      <c r="A7" s="594" t="s">
        <v>329</v>
      </c>
      <c r="B7" s="643">
        <v>105</v>
      </c>
      <c r="C7" s="594">
        <v>70</v>
      </c>
      <c r="D7" s="595">
        <v>60</v>
      </c>
      <c r="F7" s="594" t="s">
        <v>329</v>
      </c>
      <c r="G7" s="596">
        <f>(B7*(9/5))+32</f>
        <v>221</v>
      </c>
      <c r="H7" s="597">
        <f>(C7*(9/4))+32</f>
        <v>189.5</v>
      </c>
      <c r="I7" s="598">
        <f>(D7*(9/5))+32</f>
        <v>140</v>
      </c>
    </row>
    <row r="8" spans="1:9">
      <c r="A8" s="594" t="s">
        <v>898</v>
      </c>
      <c r="B8" s="643">
        <v>130</v>
      </c>
      <c r="C8" s="594">
        <v>90</v>
      </c>
      <c r="D8" s="595">
        <v>80</v>
      </c>
      <c r="F8" s="594" t="s">
        <v>898</v>
      </c>
      <c r="G8" s="596">
        <f t="shared" ref="G8:G10" si="0">(B8*(9/5))+32</f>
        <v>266</v>
      </c>
      <c r="H8" s="597">
        <f t="shared" ref="H8:H9" si="1">(C8*(9/4))+32</f>
        <v>234.5</v>
      </c>
      <c r="I8" s="598">
        <f t="shared" ref="I8:I10" si="2">(D8*(9/5))+32</f>
        <v>176</v>
      </c>
    </row>
    <row r="9" spans="1:9">
      <c r="A9" s="594" t="s">
        <v>897</v>
      </c>
      <c r="B9" s="643">
        <v>155</v>
      </c>
      <c r="C9" s="594">
        <v>115</v>
      </c>
      <c r="D9" s="595">
        <v>105</v>
      </c>
      <c r="F9" s="594" t="s">
        <v>897</v>
      </c>
      <c r="G9" s="596">
        <f t="shared" si="0"/>
        <v>311</v>
      </c>
      <c r="H9" s="597">
        <f t="shared" si="1"/>
        <v>290.75</v>
      </c>
      <c r="I9" s="598">
        <f t="shared" si="2"/>
        <v>221</v>
      </c>
    </row>
    <row r="10" spans="1:9">
      <c r="A10" s="594" t="s">
        <v>899</v>
      </c>
      <c r="B10" s="643">
        <v>180</v>
      </c>
      <c r="C10" s="594" t="s">
        <v>672</v>
      </c>
      <c r="D10" s="595">
        <v>125</v>
      </c>
      <c r="F10" s="594" t="s">
        <v>899</v>
      </c>
      <c r="G10" s="596">
        <f t="shared" si="0"/>
        <v>356</v>
      </c>
      <c r="H10" s="597" t="s">
        <v>672</v>
      </c>
      <c r="I10" s="598">
        <f t="shared" si="2"/>
        <v>257</v>
      </c>
    </row>
    <row r="11" spans="1:9">
      <c r="I11" s="184"/>
    </row>
    <row r="12" spans="1:9" ht="15">
      <c r="A12" s="1283" t="s">
        <v>900</v>
      </c>
      <c r="B12" s="1283"/>
      <c r="C12" s="1284" t="s">
        <v>889</v>
      </c>
      <c r="D12" s="1284"/>
      <c r="F12" s="1283" t="s">
        <v>900</v>
      </c>
      <c r="G12" s="1283"/>
      <c r="H12" s="1284" t="s">
        <v>890</v>
      </c>
      <c r="I12" s="1284"/>
    </row>
    <row r="13" spans="1:9" ht="15">
      <c r="A13" s="594" t="s">
        <v>891</v>
      </c>
      <c r="B13" s="386" t="s">
        <v>892</v>
      </c>
      <c r="C13" s="594" t="s">
        <v>893</v>
      </c>
      <c r="D13" s="595" t="s">
        <v>894</v>
      </c>
      <c r="F13" s="594" t="s">
        <v>891</v>
      </c>
      <c r="G13" s="386" t="s">
        <v>892</v>
      </c>
      <c r="H13" s="594" t="s">
        <v>893</v>
      </c>
      <c r="I13" s="595" t="s">
        <v>894</v>
      </c>
    </row>
    <row r="14" spans="1:9">
      <c r="A14" s="594" t="s">
        <v>895</v>
      </c>
      <c r="B14" s="643" t="s">
        <v>896</v>
      </c>
      <c r="C14" s="594" t="s">
        <v>896</v>
      </c>
      <c r="D14" s="595" t="s">
        <v>896</v>
      </c>
      <c r="F14" s="594" t="s">
        <v>895</v>
      </c>
      <c r="G14" s="643" t="s">
        <v>897</v>
      </c>
      <c r="H14" s="594" t="s">
        <v>897</v>
      </c>
      <c r="I14" s="595" t="s">
        <v>897</v>
      </c>
    </row>
    <row r="15" spans="1:9">
      <c r="A15" s="594" t="s">
        <v>329</v>
      </c>
      <c r="B15" s="643">
        <v>105</v>
      </c>
      <c r="C15" s="594">
        <v>70</v>
      </c>
      <c r="D15" s="595">
        <v>60</v>
      </c>
      <c r="F15" s="594" t="s">
        <v>329</v>
      </c>
      <c r="G15" s="596">
        <f t="shared" ref="G15:G18" si="3">(B15*(9/5))+32</f>
        <v>221</v>
      </c>
      <c r="H15" s="597">
        <f t="shared" ref="H15:H18" si="4">(C15*(9/4))+32</f>
        <v>189.5</v>
      </c>
      <c r="I15" s="598">
        <f t="shared" ref="I15:I18" si="5">(D15*(9/5))+32</f>
        <v>140</v>
      </c>
    </row>
    <row r="16" spans="1:9">
      <c r="A16" s="594" t="s">
        <v>898</v>
      </c>
      <c r="B16" s="643">
        <v>130</v>
      </c>
      <c r="C16" s="594">
        <v>90</v>
      </c>
      <c r="D16" s="595">
        <v>80</v>
      </c>
      <c r="F16" s="594" t="s">
        <v>898</v>
      </c>
      <c r="G16" s="596">
        <f t="shared" si="3"/>
        <v>266</v>
      </c>
      <c r="H16" s="597">
        <f t="shared" si="4"/>
        <v>234.5</v>
      </c>
      <c r="I16" s="598">
        <f t="shared" si="5"/>
        <v>176</v>
      </c>
    </row>
    <row r="17" spans="1:14">
      <c r="A17" s="594" t="s">
        <v>897</v>
      </c>
      <c r="B17" s="643">
        <v>155</v>
      </c>
      <c r="C17" s="594">
        <v>115</v>
      </c>
      <c r="D17" s="595">
        <v>105</v>
      </c>
      <c r="F17" s="594" t="s">
        <v>897</v>
      </c>
      <c r="G17" s="596">
        <f t="shared" si="3"/>
        <v>311</v>
      </c>
      <c r="H17" s="597">
        <f t="shared" si="4"/>
        <v>290.75</v>
      </c>
      <c r="I17" s="598">
        <f t="shared" si="5"/>
        <v>221</v>
      </c>
    </row>
    <row r="18" spans="1:14">
      <c r="A18" s="594" t="s">
        <v>899</v>
      </c>
      <c r="B18" s="643">
        <v>180</v>
      </c>
      <c r="C18" s="594">
        <v>135</v>
      </c>
      <c r="D18" s="595">
        <v>125</v>
      </c>
      <c r="F18" s="594" t="s">
        <v>899</v>
      </c>
      <c r="G18" s="596">
        <f t="shared" si="3"/>
        <v>356</v>
      </c>
      <c r="H18" s="597">
        <f t="shared" si="4"/>
        <v>335.75</v>
      </c>
      <c r="I18" s="598">
        <f t="shared" si="5"/>
        <v>257</v>
      </c>
    </row>
    <row r="20" spans="1:14" s="184" customFormat="1" ht="15">
      <c r="A20" s="599" t="s">
        <v>901</v>
      </c>
      <c r="B20" s="250"/>
      <c r="C20" s="250"/>
      <c r="E20" s="600"/>
      <c r="F20" s="600"/>
      <c r="G20" s="600"/>
      <c r="H20" s="600"/>
      <c r="I20" s="600"/>
      <c r="J20" s="600"/>
      <c r="K20" s="600"/>
      <c r="L20" s="600"/>
      <c r="M20" s="600"/>
      <c r="N20" s="600"/>
    </row>
    <row r="21" spans="1:14" s="184" customFormat="1" ht="15">
      <c r="A21" s="601" t="s">
        <v>898</v>
      </c>
      <c r="B21" s="250" t="s">
        <v>902</v>
      </c>
      <c r="C21" s="250"/>
      <c r="E21" s="600"/>
      <c r="F21" s="602"/>
      <c r="G21" s="603" t="s">
        <v>896</v>
      </c>
      <c r="H21" s="603" t="s">
        <v>897</v>
      </c>
      <c r="J21" s="600"/>
      <c r="K21" s="600"/>
      <c r="L21" s="600"/>
      <c r="M21" s="600"/>
      <c r="N21" s="600"/>
    </row>
    <row r="22" spans="1:14" s="184" customFormat="1">
      <c r="A22" s="604">
        <v>120</v>
      </c>
      <c r="B22" s="250" t="s">
        <v>903</v>
      </c>
      <c r="C22" s="250"/>
      <c r="E22" s="600"/>
      <c r="F22" s="605"/>
      <c r="G22" s="606">
        <v>-40</v>
      </c>
      <c r="H22" s="606">
        <f t="shared" ref="H22:H48" si="6">(G22*(9/5))+32</f>
        <v>-40</v>
      </c>
      <c r="J22" s="600"/>
      <c r="K22" s="600"/>
      <c r="L22" s="600"/>
      <c r="M22" s="600"/>
      <c r="N22" s="600"/>
    </row>
    <row r="23" spans="1:14" s="184" customFormat="1">
      <c r="A23" s="604">
        <v>80</v>
      </c>
      <c r="B23" s="250" t="s">
        <v>904</v>
      </c>
      <c r="C23" s="250"/>
      <c r="E23" s="600"/>
      <c r="F23" s="605"/>
      <c r="G23" s="606">
        <v>-30</v>
      </c>
      <c r="H23" s="606">
        <f t="shared" si="6"/>
        <v>-22</v>
      </c>
      <c r="J23" s="600"/>
      <c r="K23" s="600"/>
      <c r="L23" s="600"/>
      <c r="M23" s="600"/>
      <c r="N23" s="600"/>
    </row>
    <row r="24" spans="1:14" s="184" customFormat="1">
      <c r="A24" s="604">
        <v>90</v>
      </c>
      <c r="B24" s="250" t="s">
        <v>905</v>
      </c>
      <c r="C24" s="250"/>
      <c r="E24" s="600"/>
      <c r="F24" s="605"/>
      <c r="G24" s="606">
        <v>-20</v>
      </c>
      <c r="H24" s="606">
        <f t="shared" si="6"/>
        <v>-4</v>
      </c>
      <c r="J24" s="600"/>
      <c r="K24" s="600"/>
      <c r="L24" s="600"/>
      <c r="M24" s="600"/>
      <c r="N24" s="600"/>
    </row>
    <row r="25" spans="1:14" s="184" customFormat="1">
      <c r="A25" s="604">
        <v>130</v>
      </c>
      <c r="B25" s="250" t="s">
        <v>906</v>
      </c>
      <c r="C25" s="250"/>
      <c r="E25" s="600"/>
      <c r="F25" s="605"/>
      <c r="G25" s="606">
        <v>-10</v>
      </c>
      <c r="H25" s="606">
        <f t="shared" si="6"/>
        <v>14</v>
      </c>
      <c r="J25" s="600"/>
      <c r="K25" s="600"/>
      <c r="L25" s="600"/>
      <c r="M25" s="600"/>
      <c r="N25" s="600"/>
    </row>
    <row r="26" spans="1:14" s="184" customFormat="1">
      <c r="A26" s="607">
        <f>A22-A23</f>
        <v>40</v>
      </c>
      <c r="B26" s="250" t="s">
        <v>907</v>
      </c>
      <c r="C26" s="250"/>
      <c r="E26" s="600"/>
      <c r="F26" s="605"/>
      <c r="G26" s="606">
        <v>0</v>
      </c>
      <c r="H26" s="606">
        <f t="shared" si="6"/>
        <v>32</v>
      </c>
      <c r="J26" s="600"/>
      <c r="K26" s="600"/>
      <c r="L26" s="600"/>
      <c r="M26" s="600"/>
      <c r="N26" s="600"/>
    </row>
    <row r="27" spans="1:14" s="184" customFormat="1">
      <c r="A27" s="608"/>
      <c r="B27" s="250"/>
      <c r="C27" s="250"/>
      <c r="E27" s="600"/>
      <c r="F27" s="600"/>
      <c r="G27" s="606">
        <v>10</v>
      </c>
      <c r="H27" s="606">
        <f t="shared" si="6"/>
        <v>50</v>
      </c>
      <c r="J27" s="600"/>
      <c r="K27" s="600"/>
      <c r="L27" s="600"/>
      <c r="M27" s="600"/>
      <c r="N27" s="600"/>
    </row>
    <row r="28" spans="1:14" s="184" customFormat="1" ht="15">
      <c r="A28" s="609" t="str">
        <f>IF(A22&gt;A25,"Warning: Maximum Winding Temperature has been exceeded!","")</f>
        <v/>
      </c>
      <c r="B28" s="600"/>
      <c r="C28" s="600"/>
      <c r="D28" s="600"/>
      <c r="E28" s="600"/>
      <c r="F28" s="600"/>
      <c r="G28" s="606">
        <v>20</v>
      </c>
      <c r="H28" s="606">
        <f t="shared" si="6"/>
        <v>68</v>
      </c>
      <c r="J28" s="600"/>
      <c r="K28" s="600"/>
      <c r="L28" s="600"/>
      <c r="M28" s="600"/>
      <c r="N28" s="600"/>
    </row>
    <row r="29" spans="1:14" s="184" customFormat="1" ht="15">
      <c r="A29" s="609" t="str">
        <f>IF(A23&gt;40,"Warning: NEMA ratings are based on an ambient temperature of 40C!","")</f>
        <v>Warning: NEMA ratings are based on an ambient temperature of 40C!</v>
      </c>
      <c r="B29" s="600"/>
      <c r="C29" s="600"/>
      <c r="D29" s="600"/>
      <c r="E29" s="600"/>
      <c r="F29" s="600"/>
      <c r="G29" s="606">
        <v>30</v>
      </c>
      <c r="H29" s="606">
        <f t="shared" si="6"/>
        <v>86</v>
      </c>
      <c r="J29" s="600"/>
      <c r="K29" s="600"/>
      <c r="L29" s="600"/>
      <c r="M29" s="600"/>
      <c r="N29" s="600"/>
    </row>
    <row r="30" spans="1:14" s="184" customFormat="1" ht="15">
      <c r="A30" s="609" t="str">
        <f>IF(A22&gt;A25,"Warning: Exceeding the (Max. Temp Allowed) decreases motor life.","")</f>
        <v/>
      </c>
      <c r="B30" s="600"/>
      <c r="C30" s="600"/>
      <c r="D30" s="600"/>
      <c r="E30" s="600"/>
      <c r="F30" s="600"/>
      <c r="G30" s="606">
        <v>40</v>
      </c>
      <c r="H30" s="606">
        <f t="shared" si="6"/>
        <v>104</v>
      </c>
      <c r="J30" s="600"/>
      <c r="K30" s="600"/>
      <c r="L30" s="600"/>
      <c r="M30" s="600"/>
      <c r="N30" s="600"/>
    </row>
    <row r="31" spans="1:14" s="184" customFormat="1">
      <c r="A31" s="610"/>
      <c r="G31" s="606">
        <v>50</v>
      </c>
      <c r="H31" s="606">
        <f t="shared" si="6"/>
        <v>122</v>
      </c>
    </row>
    <row r="32" spans="1:14" s="184" customFormat="1">
      <c r="G32" s="606">
        <v>60</v>
      </c>
      <c r="H32" s="606">
        <f t="shared" si="6"/>
        <v>140</v>
      </c>
    </row>
    <row r="33" spans="1:14">
      <c r="A33" s="1280" t="s">
        <v>908</v>
      </c>
      <c r="B33" s="1281"/>
      <c r="G33" s="606">
        <v>70</v>
      </c>
      <c r="H33" s="606">
        <f t="shared" si="6"/>
        <v>158</v>
      </c>
    </row>
    <row r="34" spans="1:14">
      <c r="A34" s="611">
        <v>150</v>
      </c>
      <c r="B34" s="643">
        <f>(A34*(9/5))+32</f>
        <v>302</v>
      </c>
      <c r="G34" s="606">
        <v>80</v>
      </c>
      <c r="H34" s="606">
        <f t="shared" si="6"/>
        <v>176</v>
      </c>
    </row>
    <row r="35" spans="1:14">
      <c r="A35" s="477"/>
      <c r="B35" s="188"/>
      <c r="G35" s="606">
        <v>90</v>
      </c>
      <c r="H35" s="606">
        <f t="shared" si="6"/>
        <v>194</v>
      </c>
    </row>
    <row r="36" spans="1:14">
      <c r="A36" s="1280" t="s">
        <v>909</v>
      </c>
      <c r="B36" s="1281"/>
      <c r="G36" s="606">
        <v>100</v>
      </c>
      <c r="H36" s="606">
        <f t="shared" si="6"/>
        <v>212</v>
      </c>
    </row>
    <row r="37" spans="1:14">
      <c r="A37" s="611">
        <v>98.6</v>
      </c>
      <c r="B37" s="643">
        <f>(A37-32)*(5/9)</f>
        <v>37</v>
      </c>
      <c r="G37" s="606">
        <v>110</v>
      </c>
      <c r="H37" s="606">
        <f t="shared" si="6"/>
        <v>230</v>
      </c>
    </row>
    <row r="38" spans="1:14">
      <c r="G38" s="606">
        <v>120</v>
      </c>
      <c r="H38" s="606">
        <f t="shared" si="6"/>
        <v>248</v>
      </c>
    </row>
    <row r="39" spans="1:14" s="184" customFormat="1" ht="15">
      <c r="A39" s="612" t="s">
        <v>0</v>
      </c>
      <c r="G39" s="606">
        <v>130</v>
      </c>
      <c r="H39" s="606">
        <f t="shared" si="6"/>
        <v>266</v>
      </c>
    </row>
    <row r="40" spans="1:14" s="184" customFormat="1">
      <c r="A40" s="613" t="s">
        <v>910</v>
      </c>
      <c r="B40" s="600"/>
      <c r="C40" s="600"/>
      <c r="D40" s="600"/>
      <c r="E40" s="600"/>
      <c r="F40" s="600"/>
      <c r="G40" s="606">
        <v>140</v>
      </c>
      <c r="H40" s="606">
        <f t="shared" si="6"/>
        <v>284</v>
      </c>
      <c r="J40" s="600"/>
      <c r="K40" s="600"/>
      <c r="L40" s="600"/>
      <c r="M40" s="600"/>
      <c r="N40" s="600"/>
    </row>
    <row r="41" spans="1:14" s="184" customFormat="1">
      <c r="A41" s="613" t="s">
        <v>911</v>
      </c>
      <c r="B41" s="600"/>
      <c r="C41" s="600"/>
      <c r="D41" s="600"/>
      <c r="E41" s="600"/>
      <c r="F41" s="600"/>
      <c r="G41" s="606">
        <v>150</v>
      </c>
      <c r="H41" s="606">
        <f t="shared" si="6"/>
        <v>302</v>
      </c>
      <c r="J41" s="600"/>
      <c r="K41" s="600"/>
      <c r="L41" s="600"/>
      <c r="M41" s="600"/>
      <c r="N41" s="600"/>
    </row>
    <row r="42" spans="1:14" s="184" customFormat="1">
      <c r="A42" s="613" t="s">
        <v>912</v>
      </c>
      <c r="B42" s="600"/>
      <c r="C42" s="600"/>
      <c r="D42" s="600"/>
      <c r="E42" s="600"/>
      <c r="F42" s="600"/>
      <c r="G42" s="606">
        <v>160</v>
      </c>
      <c r="H42" s="606">
        <f t="shared" si="6"/>
        <v>320</v>
      </c>
      <c r="J42" s="600"/>
      <c r="K42" s="600"/>
      <c r="L42" s="600"/>
      <c r="M42" s="600"/>
      <c r="N42" s="600"/>
    </row>
    <row r="43" spans="1:14" s="184" customFormat="1">
      <c r="A43" s="613" t="s">
        <v>913</v>
      </c>
      <c r="B43" s="600"/>
      <c r="C43" s="600"/>
      <c r="D43" s="600"/>
      <c r="E43" s="600"/>
      <c r="F43" s="600"/>
      <c r="G43" s="606">
        <v>170</v>
      </c>
      <c r="H43" s="606">
        <f t="shared" si="6"/>
        <v>338</v>
      </c>
      <c r="J43" s="600"/>
      <c r="K43" s="600"/>
      <c r="L43" s="600"/>
      <c r="M43" s="600"/>
      <c r="N43" s="600"/>
    </row>
    <row r="44" spans="1:14">
      <c r="G44" s="606">
        <v>180</v>
      </c>
      <c r="H44" s="606">
        <f t="shared" si="6"/>
        <v>356</v>
      </c>
    </row>
    <row r="45" spans="1:14">
      <c r="A45" s="834" t="s">
        <v>666</v>
      </c>
      <c r="G45" s="606">
        <v>190</v>
      </c>
      <c r="H45" s="606">
        <f t="shared" si="6"/>
        <v>374</v>
      </c>
    </row>
    <row r="46" spans="1:14">
      <c r="A46" s="293" t="s">
        <v>762</v>
      </c>
      <c r="G46" s="606">
        <v>200</v>
      </c>
      <c r="H46" s="606">
        <f t="shared" si="6"/>
        <v>392</v>
      </c>
      <c r="I46" s="602"/>
    </row>
    <row r="47" spans="1:14">
      <c r="A47" s="293" t="s">
        <v>763</v>
      </c>
      <c r="G47" s="606">
        <v>210</v>
      </c>
      <c r="H47" s="606">
        <f t="shared" si="6"/>
        <v>410</v>
      </c>
      <c r="I47" s="602"/>
    </row>
    <row r="48" spans="1:14">
      <c r="A48" s="834" t="s">
        <v>788</v>
      </c>
      <c r="G48" s="606">
        <v>220</v>
      </c>
      <c r="H48" s="606">
        <f t="shared" si="6"/>
        <v>428</v>
      </c>
      <c r="I48" s="602"/>
    </row>
    <row r="49" spans="1:9">
      <c r="A49" s="834" t="s">
        <v>3</v>
      </c>
      <c r="H49" s="602"/>
      <c r="I49" s="602"/>
    </row>
    <row r="50" spans="1:9">
      <c r="H50" s="602"/>
      <c r="I50" s="602"/>
    </row>
    <row r="51" spans="1:9" ht="14.25" customHeight="1">
      <c r="H51" s="602"/>
      <c r="I51" s="602"/>
    </row>
    <row r="52" spans="1:9">
      <c r="H52" s="602"/>
      <c r="I52" s="602"/>
    </row>
    <row r="53" spans="1:9">
      <c r="H53" s="602"/>
      <c r="I53" s="602"/>
    </row>
    <row r="54" spans="1:9">
      <c r="H54" s="602"/>
      <c r="I54" s="602"/>
    </row>
    <row r="55" spans="1:9">
      <c r="H55" s="602"/>
      <c r="I55" s="602"/>
    </row>
    <row r="56" spans="1:9">
      <c r="H56" s="602"/>
      <c r="I56" s="602"/>
    </row>
    <row r="57" spans="1:9">
      <c r="H57" s="602"/>
      <c r="I57" s="602"/>
    </row>
    <row r="58" spans="1:9">
      <c r="H58" s="602"/>
      <c r="I58" s="602"/>
    </row>
    <row r="59" spans="1:9">
      <c r="H59" s="602"/>
      <c r="I59" s="602"/>
    </row>
    <row r="60" spans="1:9">
      <c r="H60" s="602"/>
      <c r="I60" s="602"/>
    </row>
    <row r="61" spans="1:9">
      <c r="H61" s="602"/>
      <c r="I61" s="602"/>
    </row>
    <row r="62" spans="1:9">
      <c r="H62" s="602"/>
      <c r="I62" s="602"/>
    </row>
    <row r="63" spans="1:9">
      <c r="H63" s="602"/>
      <c r="I63" s="602"/>
    </row>
    <row r="64" spans="1:9">
      <c r="H64" s="602"/>
      <c r="I64" s="602"/>
    </row>
  </sheetData>
  <sheetProtection algorithmName="SHA-512" hashValue="9RdAwkb+jFJdkhtpvgERGPqQcJr4E8xvFjKGlnNh/We1waLZ/pNQlakRA08D9+1oCkulpG/+puSofJtQnP5HcA==" saltValue="NADgXkTvMzD89nSeQX1Owg==" spinCount="100000" sheet="1" objects="1" scenarios="1"/>
  <mergeCells count="12">
    <mergeCell ref="A36:B36"/>
    <mergeCell ref="A3:D3"/>
    <mergeCell ref="F3:I3"/>
    <mergeCell ref="A4:B4"/>
    <mergeCell ref="C4:D4"/>
    <mergeCell ref="F4:G4"/>
    <mergeCell ref="H4:I4"/>
    <mergeCell ref="A12:B12"/>
    <mergeCell ref="C12:D12"/>
    <mergeCell ref="F12:G12"/>
    <mergeCell ref="H12:I12"/>
    <mergeCell ref="A33:B33"/>
  </mergeCells>
  <pageMargins left="0.7" right="0.7" top="0.75" bottom="0.75" header="0.3" footer="0.3"/>
  <pageSetup scale="78" fitToWidth="2" orientation="portrait" horizontalDpi="1200" verticalDpi="1200" r:id="rId1"/>
  <colBreaks count="1" manualBreakCount="1">
    <brk id="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G48"/>
  <sheetViews>
    <sheetView topLeftCell="A37" workbookViewId="0">
      <selection activeCell="A2" sqref="A2"/>
    </sheetView>
  </sheetViews>
  <sheetFormatPr defaultColWidth="17.28515625" defaultRowHeight="15.75" customHeight="1"/>
  <cols>
    <col min="1" max="3" width="18.28515625" style="371" customWidth="1"/>
    <col min="4" max="4" width="6.140625" style="371" customWidth="1"/>
    <col min="5" max="6" width="18.28515625" style="371" customWidth="1"/>
    <col min="7" max="7" width="18.28515625" style="382" customWidth="1"/>
    <col min="8" max="16384" width="17.28515625" style="371"/>
  </cols>
  <sheetData>
    <row r="1" spans="1:7" ht="12.75" customHeight="1">
      <c r="A1" s="1215" t="s">
        <v>78</v>
      </c>
      <c r="B1" s="1215"/>
      <c r="C1" s="1215"/>
      <c r="F1" s="881">
        <v>42676</v>
      </c>
      <c r="G1" s="371"/>
    </row>
    <row r="2" spans="1:7" ht="13.5" customHeight="1">
      <c r="A2" s="372" t="s">
        <v>79</v>
      </c>
      <c r="B2" s="879">
        <v>150</v>
      </c>
      <c r="C2" s="373"/>
      <c r="G2" s="371"/>
    </row>
    <row r="3" spans="1:7" ht="12.75" customHeight="1">
      <c r="A3" s="375" t="s">
        <v>80</v>
      </c>
      <c r="B3" s="458">
        <f>B2*1.4</f>
        <v>210</v>
      </c>
      <c r="C3" s="375" t="s">
        <v>81</v>
      </c>
      <c r="E3" s="1214" t="s">
        <v>7</v>
      </c>
      <c r="F3" s="1214"/>
      <c r="G3" s="371"/>
    </row>
    <row r="4" spans="1:7" ht="12.75" customHeight="1">
      <c r="A4" s="375" t="s">
        <v>82</v>
      </c>
      <c r="B4" s="458">
        <f>B2*1.3</f>
        <v>195</v>
      </c>
      <c r="C4" s="375" t="s">
        <v>83</v>
      </c>
      <c r="E4" s="375">
        <v>1</v>
      </c>
      <c r="F4" s="375">
        <v>175</v>
      </c>
      <c r="G4" s="371"/>
    </row>
    <row r="5" spans="1:7" ht="12.75" customHeight="1">
      <c r="A5" s="376" t="s">
        <v>84</v>
      </c>
      <c r="B5" s="880">
        <f>B2*1.25</f>
        <v>187.5</v>
      </c>
      <c r="C5" s="376" t="s">
        <v>85</v>
      </c>
      <c r="E5" s="375">
        <v>3</v>
      </c>
      <c r="F5" s="375">
        <v>200</v>
      </c>
      <c r="G5" s="371"/>
    </row>
    <row r="6" spans="1:7" ht="12.75" customHeight="1">
      <c r="A6" s="376" t="s">
        <v>86</v>
      </c>
      <c r="B6" s="880">
        <f>B2*1.15</f>
        <v>172.5</v>
      </c>
      <c r="C6" s="376" t="s">
        <v>87</v>
      </c>
      <c r="E6" s="375">
        <v>6</v>
      </c>
      <c r="F6" s="375">
        <v>225</v>
      </c>
      <c r="G6" s="373"/>
    </row>
    <row r="7" spans="1:7" ht="12.75" customHeight="1">
      <c r="A7" s="375" t="s">
        <v>88</v>
      </c>
      <c r="B7" s="458">
        <f>B2*0.9</f>
        <v>135</v>
      </c>
      <c r="C7" s="375" t="s">
        <v>89</v>
      </c>
      <c r="E7" s="375">
        <v>10</v>
      </c>
      <c r="F7" s="375">
        <v>250</v>
      </c>
      <c r="G7" s="371"/>
    </row>
    <row r="8" spans="1:7" ht="12.75" customHeight="1">
      <c r="A8" s="375" t="s">
        <v>90</v>
      </c>
      <c r="B8" s="458">
        <f>B2*0.85</f>
        <v>127.5</v>
      </c>
      <c r="C8" s="375" t="s">
        <v>91</v>
      </c>
      <c r="E8" s="375">
        <v>15</v>
      </c>
      <c r="F8" s="375">
        <v>300</v>
      </c>
      <c r="G8" s="371"/>
    </row>
    <row r="9" spans="1:7" ht="12.75" customHeight="1">
      <c r="A9" s="373"/>
      <c r="B9" s="373"/>
      <c r="C9" s="373"/>
      <c r="E9" s="375">
        <v>20</v>
      </c>
      <c r="F9" s="375">
        <v>350</v>
      </c>
      <c r="G9" s="371"/>
    </row>
    <row r="10" spans="1:7" ht="12.75" customHeight="1">
      <c r="A10" s="1215" t="s">
        <v>92</v>
      </c>
      <c r="B10" s="1215"/>
      <c r="C10" s="1215"/>
      <c r="E10" s="375">
        <v>25</v>
      </c>
      <c r="F10" s="375">
        <v>400</v>
      </c>
      <c r="G10" s="371"/>
    </row>
    <row r="11" spans="1:7" ht="13.5" customHeight="1">
      <c r="A11" s="372" t="s">
        <v>93</v>
      </c>
      <c r="B11" s="879">
        <v>135</v>
      </c>
      <c r="C11" s="373"/>
      <c r="E11" s="375">
        <v>30</v>
      </c>
      <c r="F11" s="375">
        <v>450</v>
      </c>
      <c r="G11" s="371"/>
    </row>
    <row r="12" spans="1:7" ht="12.75" customHeight="1">
      <c r="A12" s="376" t="s">
        <v>94</v>
      </c>
      <c r="B12" s="880">
        <f>B11*1.25</f>
        <v>168.75</v>
      </c>
      <c r="C12" s="878">
        <v>1.25</v>
      </c>
      <c r="E12" s="375">
        <v>35</v>
      </c>
      <c r="F12" s="375">
        <v>500</v>
      </c>
      <c r="G12" s="371"/>
    </row>
    <row r="13" spans="1:7" ht="12.75" customHeight="1">
      <c r="A13" s="373"/>
      <c r="B13" s="373"/>
      <c r="C13" s="373"/>
      <c r="D13" s="373"/>
      <c r="E13" s="375">
        <v>40</v>
      </c>
      <c r="F13" s="375">
        <v>600</v>
      </c>
      <c r="G13" s="371"/>
    </row>
    <row r="14" spans="1:7" ht="12.75" customHeight="1">
      <c r="A14" s="1215" t="s">
        <v>95</v>
      </c>
      <c r="B14" s="1215"/>
      <c r="C14" s="1215"/>
      <c r="D14" s="373"/>
      <c r="E14" s="375">
        <v>45</v>
      </c>
      <c r="F14" s="375">
        <v>700</v>
      </c>
      <c r="G14" s="371"/>
    </row>
    <row r="15" spans="1:7" ht="12.75" customHeight="1">
      <c r="A15" s="374" t="s">
        <v>97</v>
      </c>
      <c r="B15" s="458">
        <f>B11*3</f>
        <v>405</v>
      </c>
      <c r="C15" s="381">
        <v>3</v>
      </c>
      <c r="D15" s="373"/>
      <c r="E15" s="375">
        <v>50</v>
      </c>
      <c r="F15" s="375">
        <v>800</v>
      </c>
      <c r="G15" s="371"/>
    </row>
    <row r="16" spans="1:7" ht="12.75" customHeight="1">
      <c r="A16" s="374" t="s">
        <v>98</v>
      </c>
      <c r="B16" s="458">
        <f>B11*1.75</f>
        <v>236.25</v>
      </c>
      <c r="C16" s="381">
        <v>1.75</v>
      </c>
      <c r="D16" s="373"/>
      <c r="E16" s="375">
        <v>60</v>
      </c>
      <c r="F16" s="375">
        <v>1000</v>
      </c>
      <c r="G16" s="371"/>
    </row>
    <row r="17" spans="1:7" ht="12.75" customHeight="1">
      <c r="A17" s="374" t="s">
        <v>99</v>
      </c>
      <c r="B17" s="458">
        <f>B11*8</f>
        <v>1080</v>
      </c>
      <c r="C17" s="381">
        <v>8</v>
      </c>
      <c r="D17" s="373"/>
      <c r="E17" s="375">
        <v>70</v>
      </c>
      <c r="F17" s="375">
        <v>1200</v>
      </c>
      <c r="G17" s="371"/>
    </row>
    <row r="18" spans="1:7" ht="12.75" customHeight="1">
      <c r="A18" s="374" t="s">
        <v>100</v>
      </c>
      <c r="B18" s="458">
        <f>B11*2.5</f>
        <v>337.5</v>
      </c>
      <c r="C18" s="381">
        <v>2.5</v>
      </c>
      <c r="D18" s="373"/>
      <c r="E18" s="375">
        <v>80</v>
      </c>
      <c r="F18" s="375">
        <v>1600</v>
      </c>
      <c r="G18" s="371"/>
    </row>
    <row r="19" spans="1:7" ht="12.75" customHeight="1">
      <c r="C19" s="382"/>
      <c r="D19" s="373"/>
      <c r="E19" s="375">
        <v>90</v>
      </c>
      <c r="F19" s="375">
        <v>2000</v>
      </c>
      <c r="G19" s="371"/>
    </row>
    <row r="20" spans="1:7" ht="12.75" customHeight="1">
      <c r="A20" s="1215" t="s">
        <v>101</v>
      </c>
      <c r="B20" s="1215"/>
      <c r="C20" s="1215"/>
      <c r="D20" s="373"/>
      <c r="E20" s="375">
        <v>100</v>
      </c>
      <c r="F20" s="375">
        <v>2500</v>
      </c>
      <c r="G20" s="371"/>
    </row>
    <row r="21" spans="1:7" ht="12.75" customHeight="1">
      <c r="A21" s="374" t="s">
        <v>97</v>
      </c>
      <c r="B21" s="458">
        <f>B11*3</f>
        <v>405</v>
      </c>
      <c r="C21" s="381">
        <v>3</v>
      </c>
      <c r="D21" s="373"/>
      <c r="E21" s="375">
        <v>110</v>
      </c>
      <c r="F21" s="375">
        <v>3000</v>
      </c>
      <c r="G21" s="371"/>
    </row>
    <row r="22" spans="1:7" ht="12.75" customHeight="1">
      <c r="A22" s="374" t="s">
        <v>98</v>
      </c>
      <c r="B22" s="458">
        <f>B11*1.75</f>
        <v>236.25</v>
      </c>
      <c r="C22" s="381">
        <v>1.75</v>
      </c>
      <c r="D22" s="373"/>
      <c r="E22" s="375">
        <v>125</v>
      </c>
      <c r="F22" s="375">
        <v>4000</v>
      </c>
      <c r="G22" s="371"/>
    </row>
    <row r="23" spans="1:7" ht="12.75" customHeight="1">
      <c r="A23" s="374" t="s">
        <v>99</v>
      </c>
      <c r="B23" s="458">
        <f>B11*11</f>
        <v>1485</v>
      </c>
      <c r="C23" s="381">
        <v>11</v>
      </c>
      <c r="D23" s="373"/>
      <c r="E23" s="375">
        <v>150</v>
      </c>
      <c r="F23" s="375">
        <v>5000</v>
      </c>
      <c r="G23" s="371"/>
    </row>
    <row r="24" spans="1:7" ht="12.75" customHeight="1">
      <c r="A24" s="374" t="s">
        <v>100</v>
      </c>
      <c r="B24" s="458">
        <f>B11*2.5</f>
        <v>337.5</v>
      </c>
      <c r="C24" s="381">
        <v>2.5</v>
      </c>
      <c r="D24" s="373"/>
      <c r="G24" s="371"/>
    </row>
    <row r="25" spans="1:7" ht="12.75" customHeight="1">
      <c r="A25" s="373"/>
      <c r="B25" s="373"/>
      <c r="C25" s="383"/>
      <c r="D25" s="373"/>
      <c r="E25" s="384" t="s">
        <v>0</v>
      </c>
      <c r="G25" s="371"/>
    </row>
    <row r="26" spans="1:7" ht="12.75" customHeight="1">
      <c r="A26" s="1215" t="s">
        <v>103</v>
      </c>
      <c r="B26" s="1215"/>
      <c r="C26" s="1215"/>
      <c r="D26" s="373"/>
      <c r="E26" s="1216" t="s">
        <v>764</v>
      </c>
      <c r="F26" s="1216"/>
      <c r="G26" s="371"/>
    </row>
    <row r="27" spans="1:7" ht="12.75" customHeight="1">
      <c r="A27" s="374" t="s">
        <v>97</v>
      </c>
      <c r="B27" s="458">
        <f>B11*3</f>
        <v>405</v>
      </c>
      <c r="C27" s="381">
        <v>3</v>
      </c>
      <c r="D27" s="373"/>
      <c r="E27" s="1216"/>
      <c r="F27" s="1216"/>
    </row>
    <row r="28" spans="1:7" ht="12.75" customHeight="1">
      <c r="A28" s="374" t="s">
        <v>98</v>
      </c>
      <c r="B28" s="458">
        <f>B11*1.75</f>
        <v>236.25</v>
      </c>
      <c r="C28" s="381">
        <v>1.75</v>
      </c>
      <c r="D28" s="373"/>
      <c r="E28" s="1216"/>
      <c r="F28" s="1216"/>
    </row>
    <row r="29" spans="1:7" ht="12.75" customHeight="1">
      <c r="A29" s="374" t="s">
        <v>99</v>
      </c>
      <c r="B29" s="458">
        <f>B11*8</f>
        <v>1080</v>
      </c>
      <c r="C29" s="381">
        <v>8</v>
      </c>
      <c r="D29" s="373"/>
      <c r="E29" s="1216"/>
      <c r="F29" s="1216"/>
    </row>
    <row r="30" spans="1:7" ht="12.75" customHeight="1">
      <c r="A30" s="374" t="s">
        <v>100</v>
      </c>
      <c r="B30" s="458">
        <f>B11*2.5</f>
        <v>337.5</v>
      </c>
      <c r="C30" s="381">
        <v>2.5</v>
      </c>
      <c r="D30" s="373"/>
      <c r="E30" s="1216"/>
      <c r="F30" s="1216"/>
    </row>
    <row r="31" spans="1:7" ht="12.75" customHeight="1">
      <c r="A31" s="373"/>
      <c r="B31" s="373"/>
      <c r="C31" s="383"/>
      <c r="D31" s="373"/>
      <c r="E31" s="1216"/>
      <c r="F31" s="1216"/>
    </row>
    <row r="32" spans="1:7" ht="12.75" customHeight="1">
      <c r="A32" s="1215" t="s">
        <v>96</v>
      </c>
      <c r="B32" s="1215"/>
      <c r="C32" s="1215"/>
      <c r="D32" s="377"/>
      <c r="E32" s="1216"/>
      <c r="F32" s="1216"/>
    </row>
    <row r="33" spans="1:6" ht="12.75" customHeight="1">
      <c r="A33" s="374" t="s">
        <v>97</v>
      </c>
      <c r="B33" s="458">
        <f>B11*3</f>
        <v>405</v>
      </c>
      <c r="C33" s="381">
        <v>3</v>
      </c>
      <c r="D33" s="377"/>
      <c r="E33" s="1216"/>
      <c r="F33" s="1216"/>
    </row>
    <row r="34" spans="1:6" ht="12.75" customHeight="1">
      <c r="A34" s="374" t="s">
        <v>98</v>
      </c>
      <c r="B34" s="458">
        <f>B11*1.75</f>
        <v>236.25</v>
      </c>
      <c r="C34" s="381">
        <v>1.75</v>
      </c>
      <c r="D34" s="377"/>
      <c r="E34" s="1216"/>
      <c r="F34" s="1216"/>
    </row>
    <row r="35" spans="1:6" ht="15.75" customHeight="1">
      <c r="A35" s="374" t="s">
        <v>99</v>
      </c>
      <c r="B35" s="458">
        <f>B11*8</f>
        <v>1080</v>
      </c>
      <c r="C35" s="381">
        <v>8</v>
      </c>
      <c r="D35" s="378"/>
      <c r="E35" s="1216"/>
      <c r="F35" s="1216"/>
    </row>
    <row r="36" spans="1:6" ht="15.75" customHeight="1">
      <c r="A36" s="374" t="s">
        <v>100</v>
      </c>
      <c r="B36" s="458">
        <f>B11*2.5</f>
        <v>337.5</v>
      </c>
      <c r="C36" s="381">
        <v>2.5</v>
      </c>
      <c r="D36" s="378"/>
      <c r="E36" s="1216"/>
      <c r="F36" s="1216"/>
    </row>
    <row r="37" spans="1:6" ht="15.75" customHeight="1">
      <c r="A37" s="373"/>
      <c r="B37" s="373"/>
      <c r="C37" s="383"/>
      <c r="E37" s="1216"/>
      <c r="F37" s="1216"/>
    </row>
    <row r="38" spans="1:6" ht="15.75" customHeight="1">
      <c r="A38" s="1215" t="s">
        <v>102</v>
      </c>
      <c r="B38" s="1215"/>
      <c r="C38" s="1215"/>
      <c r="E38" s="1216"/>
      <c r="F38" s="1216"/>
    </row>
    <row r="39" spans="1:6" ht="15.75" customHeight="1">
      <c r="A39" s="374" t="s">
        <v>97</v>
      </c>
      <c r="B39" s="458">
        <f>B11*1.5</f>
        <v>202.5</v>
      </c>
      <c r="C39" s="381">
        <v>1.5</v>
      </c>
      <c r="E39" s="1216"/>
      <c r="F39" s="1216"/>
    </row>
    <row r="40" spans="1:6" ht="15.75" customHeight="1">
      <c r="A40" s="374" t="s">
        <v>98</v>
      </c>
      <c r="B40" s="458">
        <v>150</v>
      </c>
      <c r="C40" s="381">
        <v>1.5</v>
      </c>
      <c r="E40" s="1216"/>
      <c r="F40" s="1216"/>
    </row>
    <row r="41" spans="1:6" ht="15.75" customHeight="1">
      <c r="A41" s="374" t="s">
        <v>99</v>
      </c>
      <c r="B41" s="458">
        <f>B11*8</f>
        <v>1080</v>
      </c>
      <c r="C41" s="381">
        <v>8</v>
      </c>
      <c r="E41" s="1216"/>
      <c r="F41" s="1216"/>
    </row>
    <row r="42" spans="1:6" ht="15.75" customHeight="1">
      <c r="A42" s="374" t="s">
        <v>100</v>
      </c>
      <c r="B42" s="458">
        <f>B11*1.5</f>
        <v>202.5</v>
      </c>
      <c r="C42" s="381">
        <v>1.5</v>
      </c>
      <c r="E42" s="1216"/>
      <c r="F42" s="1216"/>
    </row>
    <row r="43" spans="1:6" ht="15.75" customHeight="1">
      <c r="A43" s="373"/>
      <c r="B43" s="373"/>
      <c r="C43" s="383"/>
      <c r="E43" s="882"/>
      <c r="F43" s="882"/>
    </row>
    <row r="44" spans="1:6" ht="15.75" customHeight="1">
      <c r="A44" s="1215" t="s">
        <v>104</v>
      </c>
      <c r="B44" s="1215"/>
      <c r="C44" s="1215"/>
      <c r="E44" s="379" t="s">
        <v>666</v>
      </c>
      <c r="F44" s="882"/>
    </row>
    <row r="45" spans="1:6" ht="15.75" customHeight="1">
      <c r="A45" s="374" t="s">
        <v>97</v>
      </c>
      <c r="B45" s="458">
        <f>B11*1.5</f>
        <v>202.5</v>
      </c>
      <c r="C45" s="381">
        <v>1.5</v>
      </c>
      <c r="E45" s="380" t="s">
        <v>762</v>
      </c>
    </row>
    <row r="46" spans="1:6" ht="15.75" customHeight="1">
      <c r="A46" s="374" t="s">
        <v>98</v>
      </c>
      <c r="B46" s="458">
        <f>B11*1.5</f>
        <v>202.5</v>
      </c>
      <c r="C46" s="381">
        <v>1.5</v>
      </c>
      <c r="E46" s="136" t="s">
        <v>763</v>
      </c>
    </row>
    <row r="47" spans="1:6" ht="15.75" customHeight="1">
      <c r="A47" s="374" t="s">
        <v>99</v>
      </c>
      <c r="B47" s="458">
        <f>B11*2.5</f>
        <v>337.5</v>
      </c>
      <c r="C47" s="381">
        <v>2.5</v>
      </c>
      <c r="E47" s="379" t="s">
        <v>766</v>
      </c>
    </row>
    <row r="48" spans="1:6" ht="15.75" customHeight="1">
      <c r="A48" s="374" t="s">
        <v>100</v>
      </c>
      <c r="B48" s="458">
        <f>B11*1.5</f>
        <v>202.5</v>
      </c>
      <c r="C48" s="381">
        <v>1.5</v>
      </c>
      <c r="E48" s="379" t="s">
        <v>3</v>
      </c>
    </row>
  </sheetData>
  <sheetProtection algorithmName="SHA-512" hashValue="bXVCeCiZHeehtYLttGqRlL2cfR/ogY+2N6J07Z0y4QSIucCmrU40CPOiM8Nn+1dHE6qKbTgXmzoNWdxFzGUTUw==" saltValue="thYEtu9ni5Tl9i2XsGNnew==" spinCount="100000" sheet="1" objects="1" scenarios="1"/>
  <mergeCells count="10">
    <mergeCell ref="E3:F3"/>
    <mergeCell ref="A44:C44"/>
    <mergeCell ref="A1:C1"/>
    <mergeCell ref="A10:C10"/>
    <mergeCell ref="A38:C38"/>
    <mergeCell ref="A14:C14"/>
    <mergeCell ref="A20:C20"/>
    <mergeCell ref="A26:C26"/>
    <mergeCell ref="A32:C32"/>
    <mergeCell ref="E26:F42"/>
  </mergeCells>
  <pageMargins left="0.74791666666666667" right="0.74791666666666667" top="0.98402777777777772" bottom="0.98402777777777772" header="0.51180555555555551" footer="0.51180555555555551"/>
  <pageSetup scale="91" firstPageNumber="0"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pageSetUpPr fitToPage="1"/>
  </sheetPr>
  <dimension ref="A1:IU86"/>
  <sheetViews>
    <sheetView workbookViewId="0">
      <selection activeCell="M36" sqref="M36"/>
    </sheetView>
  </sheetViews>
  <sheetFormatPr defaultColWidth="11.5703125" defaultRowHeight="12.75"/>
  <cols>
    <col min="1" max="10" width="10" style="17" customWidth="1"/>
    <col min="11" max="11" width="17.5703125" style="17" customWidth="1"/>
    <col min="12" max="13" width="10.140625" style="17" customWidth="1"/>
    <col min="14" max="14" width="10.140625" style="247" customWidth="1"/>
    <col min="15" max="15" width="10.140625" style="248" customWidth="1"/>
    <col min="16" max="240" width="17.28515625" style="17" customWidth="1"/>
    <col min="241" max="16384" width="11.5703125" style="18"/>
  </cols>
  <sheetData>
    <row r="1" spans="1:255" ht="12.75" customHeight="1">
      <c r="A1" s="1285" t="s">
        <v>752</v>
      </c>
      <c r="B1" s="1285"/>
      <c r="C1" s="1285"/>
      <c r="D1" s="1285"/>
      <c r="E1" s="1285"/>
      <c r="F1" s="1285"/>
      <c r="G1" s="1285"/>
      <c r="H1" s="1285"/>
      <c r="I1" s="1285"/>
      <c r="J1" s="1285"/>
      <c r="K1" s="1285"/>
      <c r="L1" s="1285"/>
      <c r="M1" s="1285"/>
      <c r="N1" s="1285"/>
      <c r="O1" s="1285"/>
    </row>
    <row r="2" spans="1:255" s="343" customFormat="1" ht="12.75" customHeight="1">
      <c r="A2" s="337"/>
      <c r="B2" s="337"/>
      <c r="C2" s="1290" t="s">
        <v>751</v>
      </c>
      <c r="D2" s="337"/>
      <c r="E2" s="339"/>
      <c r="F2" s="338"/>
      <c r="G2" s="1292" t="s">
        <v>709</v>
      </c>
      <c r="H2" s="340" t="s">
        <v>35</v>
      </c>
      <c r="I2" s="337"/>
      <c r="J2" s="1292" t="s">
        <v>749</v>
      </c>
      <c r="K2" s="1294" t="s">
        <v>750</v>
      </c>
      <c r="L2" s="1290" t="s">
        <v>748</v>
      </c>
      <c r="M2" s="1292" t="s">
        <v>754</v>
      </c>
      <c r="N2" s="1288" t="s">
        <v>710</v>
      </c>
      <c r="O2" s="342"/>
      <c r="P2" s="339"/>
      <c r="Q2" s="339"/>
      <c r="R2" s="339"/>
      <c r="S2" s="339"/>
      <c r="T2" s="339"/>
      <c r="U2" s="339"/>
      <c r="V2" s="339"/>
      <c r="W2" s="339"/>
      <c r="X2" s="339"/>
      <c r="Y2" s="339"/>
      <c r="Z2" s="339"/>
      <c r="AA2" s="339"/>
      <c r="AB2" s="339"/>
      <c r="AC2" s="339"/>
      <c r="AD2" s="339"/>
      <c r="AE2" s="339"/>
      <c r="AF2" s="339"/>
      <c r="AG2" s="339"/>
      <c r="AH2" s="339"/>
      <c r="AI2" s="339"/>
      <c r="AJ2" s="339"/>
      <c r="AK2" s="339"/>
      <c r="AL2" s="339"/>
      <c r="AM2" s="339"/>
      <c r="AN2" s="339"/>
      <c r="AO2" s="339"/>
      <c r="AP2" s="339"/>
      <c r="AQ2" s="339"/>
      <c r="AR2" s="339"/>
      <c r="AS2" s="339"/>
      <c r="AT2" s="339"/>
      <c r="AU2" s="339"/>
      <c r="AV2" s="339"/>
      <c r="AW2" s="339"/>
      <c r="AX2" s="339"/>
      <c r="AY2" s="339"/>
      <c r="AZ2" s="339"/>
      <c r="BA2" s="339"/>
      <c r="BB2" s="339"/>
      <c r="BC2" s="339"/>
      <c r="BD2" s="339"/>
      <c r="BE2" s="339"/>
      <c r="BF2" s="339"/>
      <c r="BG2" s="339"/>
      <c r="BH2" s="339"/>
      <c r="BI2" s="339"/>
      <c r="BJ2" s="339"/>
      <c r="BK2" s="339"/>
      <c r="BL2" s="339"/>
      <c r="BM2" s="339"/>
      <c r="BN2" s="339"/>
      <c r="BO2" s="339"/>
      <c r="BP2" s="339"/>
      <c r="BQ2" s="339"/>
      <c r="BR2" s="339"/>
      <c r="BS2" s="339"/>
      <c r="BT2" s="339"/>
      <c r="BU2" s="339"/>
      <c r="BV2" s="339"/>
      <c r="BW2" s="339"/>
      <c r="BX2" s="339"/>
      <c r="BY2" s="339"/>
      <c r="BZ2" s="339"/>
      <c r="CA2" s="339"/>
      <c r="CB2" s="339"/>
      <c r="CC2" s="339"/>
      <c r="CD2" s="339"/>
      <c r="CE2" s="339"/>
      <c r="CF2" s="339"/>
      <c r="CG2" s="339"/>
      <c r="CH2" s="339"/>
      <c r="CI2" s="339"/>
      <c r="CJ2" s="339"/>
      <c r="CK2" s="339"/>
      <c r="CL2" s="339"/>
      <c r="CM2" s="339"/>
      <c r="CN2" s="339"/>
      <c r="CO2" s="339"/>
      <c r="CP2" s="339"/>
      <c r="CQ2" s="339"/>
      <c r="CR2" s="339"/>
      <c r="CS2" s="339"/>
      <c r="CT2" s="339"/>
      <c r="CU2" s="339"/>
      <c r="CV2" s="339"/>
      <c r="CW2" s="339"/>
      <c r="CX2" s="339"/>
      <c r="CY2" s="339"/>
      <c r="CZ2" s="339"/>
      <c r="DA2" s="339"/>
      <c r="DB2" s="339"/>
      <c r="DC2" s="339"/>
      <c r="DD2" s="339"/>
      <c r="DE2" s="339"/>
      <c r="DF2" s="339"/>
      <c r="DG2" s="339"/>
      <c r="DH2" s="339"/>
      <c r="DI2" s="339"/>
      <c r="DJ2" s="339"/>
      <c r="DK2" s="339"/>
      <c r="DL2" s="339"/>
      <c r="DM2" s="339"/>
      <c r="DN2" s="339"/>
      <c r="DO2" s="339"/>
      <c r="DP2" s="339"/>
      <c r="DQ2" s="339"/>
      <c r="DR2" s="339"/>
      <c r="DS2" s="339"/>
      <c r="DT2" s="339"/>
      <c r="DU2" s="339"/>
      <c r="DV2" s="339"/>
      <c r="DW2" s="339"/>
      <c r="DX2" s="339"/>
      <c r="DY2" s="339"/>
      <c r="DZ2" s="339"/>
      <c r="EA2" s="339"/>
      <c r="EB2" s="339"/>
      <c r="EC2" s="339"/>
      <c r="ED2" s="339"/>
      <c r="EE2" s="339"/>
      <c r="EF2" s="339"/>
      <c r="EG2" s="339"/>
      <c r="EH2" s="339"/>
      <c r="EI2" s="339"/>
      <c r="EJ2" s="339"/>
      <c r="EK2" s="339"/>
      <c r="EL2" s="339"/>
      <c r="EM2" s="339"/>
      <c r="EN2" s="339"/>
      <c r="EO2" s="339"/>
      <c r="EP2" s="339"/>
      <c r="EQ2" s="339"/>
      <c r="ER2" s="339"/>
      <c r="ES2" s="339"/>
      <c r="ET2" s="339"/>
      <c r="EU2" s="339"/>
      <c r="EV2" s="339"/>
      <c r="EW2" s="339"/>
      <c r="EX2" s="339"/>
      <c r="EY2" s="339"/>
      <c r="EZ2" s="339"/>
      <c r="FA2" s="339"/>
      <c r="FB2" s="339"/>
      <c r="FC2" s="339"/>
      <c r="FD2" s="339"/>
      <c r="FE2" s="339"/>
      <c r="FF2" s="339"/>
      <c r="FG2" s="339"/>
      <c r="FH2" s="339"/>
      <c r="FI2" s="339"/>
      <c r="FJ2" s="339"/>
      <c r="FK2" s="339"/>
      <c r="FL2" s="339"/>
      <c r="FM2" s="339"/>
      <c r="FN2" s="339"/>
      <c r="FO2" s="339"/>
      <c r="FP2" s="339"/>
      <c r="FQ2" s="339"/>
      <c r="FR2" s="339"/>
      <c r="FS2" s="339"/>
      <c r="FT2" s="339"/>
      <c r="FU2" s="339"/>
      <c r="FV2" s="339"/>
      <c r="FW2" s="339"/>
      <c r="FX2" s="339"/>
      <c r="FY2" s="339"/>
      <c r="FZ2" s="339"/>
      <c r="GA2" s="339"/>
      <c r="GB2" s="339"/>
      <c r="GC2" s="339"/>
      <c r="GD2" s="339"/>
      <c r="GE2" s="339"/>
      <c r="GF2" s="339"/>
      <c r="GG2" s="339"/>
      <c r="GH2" s="339"/>
      <c r="GI2" s="339"/>
      <c r="GJ2" s="339"/>
      <c r="GK2" s="339"/>
      <c r="GL2" s="339"/>
      <c r="GM2" s="339"/>
      <c r="GN2" s="339"/>
      <c r="GO2" s="339"/>
      <c r="GP2" s="339"/>
      <c r="GQ2" s="339"/>
      <c r="GR2" s="339"/>
      <c r="GS2" s="339"/>
      <c r="GT2" s="339"/>
      <c r="GU2" s="339"/>
      <c r="GV2" s="339"/>
      <c r="GW2" s="339"/>
      <c r="GX2" s="339"/>
      <c r="GY2" s="339"/>
      <c r="GZ2" s="339"/>
      <c r="HA2" s="339"/>
      <c r="HB2" s="339"/>
      <c r="HC2" s="339"/>
      <c r="HD2" s="339"/>
      <c r="HE2" s="339"/>
      <c r="HF2" s="339"/>
      <c r="HG2" s="339"/>
      <c r="HH2" s="339"/>
      <c r="HI2" s="339"/>
      <c r="HJ2" s="339"/>
      <c r="HK2" s="339"/>
      <c r="HL2" s="339"/>
      <c r="HM2" s="339"/>
      <c r="HN2" s="339"/>
      <c r="HO2" s="339"/>
      <c r="HP2" s="339"/>
      <c r="HQ2" s="339"/>
      <c r="HR2" s="339"/>
      <c r="HS2" s="339"/>
      <c r="HT2" s="339"/>
      <c r="HU2" s="339"/>
      <c r="HV2" s="339"/>
      <c r="HW2" s="339"/>
      <c r="HX2" s="339"/>
      <c r="HY2" s="339"/>
      <c r="HZ2" s="339"/>
      <c r="IA2" s="339"/>
      <c r="IB2" s="339"/>
      <c r="IC2" s="339"/>
      <c r="ID2" s="339"/>
      <c r="IE2" s="339"/>
      <c r="IF2" s="339"/>
    </row>
    <row r="3" spans="1:255" s="354" customFormat="1" ht="12.75" customHeight="1">
      <c r="A3" s="341" t="s">
        <v>224</v>
      </c>
      <c r="B3" s="341" t="s">
        <v>225</v>
      </c>
      <c r="C3" s="1291"/>
      <c r="D3" s="338" t="s">
        <v>227</v>
      </c>
      <c r="E3" s="338" t="s">
        <v>27</v>
      </c>
      <c r="F3" s="338" t="s">
        <v>229</v>
      </c>
      <c r="G3" s="1293"/>
      <c r="H3" s="340" t="s">
        <v>231</v>
      </c>
      <c r="I3" s="338" t="s">
        <v>232</v>
      </c>
      <c r="J3" s="1293"/>
      <c r="K3" s="1295"/>
      <c r="L3" s="1291"/>
      <c r="M3" s="1293"/>
      <c r="N3" s="1289"/>
      <c r="O3" s="345" t="s">
        <v>707</v>
      </c>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c r="AQ3" s="353"/>
      <c r="AR3" s="353"/>
      <c r="AS3" s="353"/>
      <c r="AT3" s="353"/>
      <c r="AU3" s="353"/>
      <c r="AV3" s="353"/>
      <c r="AW3" s="353"/>
      <c r="AX3" s="353"/>
      <c r="AY3" s="353"/>
      <c r="AZ3" s="353"/>
      <c r="BA3" s="353"/>
      <c r="BB3" s="353"/>
      <c r="BC3" s="353"/>
      <c r="BD3" s="353"/>
      <c r="BE3" s="353"/>
      <c r="BF3" s="353"/>
      <c r="BG3" s="353"/>
      <c r="BH3" s="353"/>
      <c r="BI3" s="353"/>
      <c r="BJ3" s="353"/>
      <c r="BK3" s="353"/>
      <c r="BL3" s="353"/>
      <c r="BM3" s="353"/>
      <c r="BN3" s="353"/>
      <c r="BO3" s="353"/>
      <c r="BP3" s="353"/>
      <c r="BQ3" s="353"/>
      <c r="BR3" s="353"/>
      <c r="BS3" s="353"/>
      <c r="BT3" s="353"/>
      <c r="BU3" s="353"/>
      <c r="BV3" s="353"/>
      <c r="BW3" s="353"/>
      <c r="BX3" s="353"/>
      <c r="BY3" s="353"/>
      <c r="BZ3" s="353"/>
      <c r="CA3" s="353"/>
      <c r="CB3" s="353"/>
      <c r="CC3" s="353"/>
      <c r="CD3" s="353"/>
      <c r="CE3" s="353"/>
      <c r="CF3" s="353"/>
      <c r="CG3" s="353"/>
      <c r="CH3" s="353"/>
      <c r="CI3" s="353"/>
      <c r="CJ3" s="353"/>
      <c r="CK3" s="353"/>
      <c r="CL3" s="353"/>
      <c r="CM3" s="353"/>
      <c r="CN3" s="353"/>
      <c r="CO3" s="353"/>
      <c r="CP3" s="353"/>
      <c r="CQ3" s="353"/>
      <c r="CR3" s="353"/>
      <c r="CS3" s="353"/>
      <c r="CT3" s="353"/>
      <c r="CU3" s="353"/>
      <c r="CV3" s="353"/>
      <c r="CW3" s="353"/>
      <c r="CX3" s="353"/>
      <c r="CY3" s="353"/>
      <c r="CZ3" s="353"/>
      <c r="DA3" s="353"/>
      <c r="DB3" s="353"/>
      <c r="DC3" s="353"/>
      <c r="DD3" s="353"/>
      <c r="DE3" s="353"/>
      <c r="DF3" s="353"/>
      <c r="DG3" s="353"/>
      <c r="DH3" s="353"/>
      <c r="DI3" s="353"/>
      <c r="DJ3" s="353"/>
      <c r="DK3" s="353"/>
      <c r="DL3" s="353"/>
      <c r="DM3" s="353"/>
      <c r="DN3" s="353"/>
      <c r="DO3" s="353"/>
      <c r="DP3" s="353"/>
      <c r="DQ3" s="353"/>
      <c r="DR3" s="353"/>
      <c r="DS3" s="353"/>
      <c r="DT3" s="353"/>
      <c r="DU3" s="353"/>
      <c r="DV3" s="353"/>
      <c r="DW3" s="353"/>
      <c r="DX3" s="353"/>
      <c r="DY3" s="353"/>
      <c r="DZ3" s="353"/>
      <c r="EA3" s="353"/>
      <c r="EB3" s="353"/>
      <c r="EC3" s="353"/>
      <c r="ED3" s="353"/>
      <c r="EE3" s="353"/>
      <c r="EF3" s="353"/>
      <c r="EG3" s="353"/>
      <c r="EH3" s="353"/>
      <c r="EI3" s="353"/>
      <c r="EJ3" s="353"/>
      <c r="EK3" s="353"/>
      <c r="EL3" s="353"/>
      <c r="EM3" s="353"/>
      <c r="EN3" s="353"/>
      <c r="EO3" s="353"/>
      <c r="EP3" s="353"/>
      <c r="EQ3" s="353"/>
      <c r="ER3" s="353"/>
      <c r="ES3" s="353"/>
      <c r="ET3" s="353"/>
      <c r="EU3" s="353"/>
      <c r="EV3" s="353"/>
      <c r="EW3" s="353"/>
      <c r="EX3" s="353"/>
      <c r="EY3" s="353"/>
      <c r="EZ3" s="353"/>
      <c r="FA3" s="353"/>
      <c r="FB3" s="353"/>
      <c r="FC3" s="353"/>
      <c r="FD3" s="353"/>
      <c r="FE3" s="353"/>
      <c r="FF3" s="353"/>
      <c r="FG3" s="353"/>
      <c r="FH3" s="353"/>
      <c r="FI3" s="353"/>
      <c r="FJ3" s="353"/>
      <c r="FK3" s="353"/>
      <c r="FL3" s="353"/>
      <c r="FM3" s="353"/>
      <c r="FN3" s="353"/>
      <c r="FO3" s="353"/>
      <c r="FP3" s="353"/>
      <c r="FQ3" s="353"/>
      <c r="FR3" s="353"/>
      <c r="FS3" s="353"/>
      <c r="FT3" s="353"/>
      <c r="FU3" s="353"/>
      <c r="FV3" s="353"/>
      <c r="FW3" s="353"/>
      <c r="FX3" s="353"/>
      <c r="FY3" s="353"/>
      <c r="FZ3" s="353"/>
      <c r="GA3" s="353"/>
      <c r="GB3" s="353"/>
      <c r="GC3" s="353"/>
      <c r="GD3" s="353"/>
      <c r="GE3" s="353"/>
      <c r="GF3" s="353"/>
      <c r="GG3" s="353"/>
      <c r="GH3" s="353"/>
      <c r="GI3" s="353"/>
      <c r="GJ3" s="353"/>
      <c r="GK3" s="353"/>
      <c r="GL3" s="353"/>
      <c r="GM3" s="353"/>
      <c r="GN3" s="353"/>
      <c r="GO3" s="353"/>
      <c r="GP3" s="353"/>
      <c r="GQ3" s="353"/>
      <c r="GR3" s="353"/>
      <c r="GS3" s="353"/>
      <c r="GT3" s="353"/>
      <c r="GU3" s="353"/>
      <c r="GV3" s="353"/>
      <c r="GW3" s="353"/>
      <c r="GX3" s="353"/>
      <c r="GY3" s="353"/>
      <c r="GZ3" s="353"/>
      <c r="HA3" s="353"/>
      <c r="HB3" s="353"/>
      <c r="HC3" s="353"/>
      <c r="HD3" s="353"/>
      <c r="HE3" s="353"/>
      <c r="HF3" s="353"/>
      <c r="HG3" s="353"/>
      <c r="HH3" s="353"/>
      <c r="HI3" s="353"/>
      <c r="HJ3" s="353"/>
      <c r="HK3" s="353"/>
      <c r="HL3" s="353"/>
      <c r="HM3" s="353"/>
      <c r="HN3" s="353"/>
      <c r="HO3" s="353"/>
      <c r="HP3" s="353"/>
      <c r="HQ3" s="353"/>
      <c r="HR3" s="353"/>
      <c r="HS3" s="353"/>
      <c r="HT3" s="353"/>
      <c r="HU3" s="353"/>
      <c r="HV3" s="353"/>
      <c r="HW3" s="353"/>
      <c r="HX3" s="353"/>
      <c r="HY3" s="353"/>
      <c r="HZ3" s="353"/>
      <c r="IA3" s="353"/>
      <c r="IB3" s="353"/>
      <c r="IC3" s="353"/>
      <c r="ID3" s="353"/>
      <c r="IE3" s="353"/>
      <c r="IF3" s="353"/>
    </row>
    <row r="4" spans="1:255" s="20" customFormat="1" ht="12.75" customHeight="1">
      <c r="A4" s="347" t="s">
        <v>235</v>
      </c>
      <c r="B4" s="348" t="s">
        <v>236</v>
      </c>
      <c r="C4" s="348">
        <v>4000</v>
      </c>
      <c r="D4" s="348">
        <v>1.732</v>
      </c>
      <c r="E4" s="348">
        <v>21.2</v>
      </c>
      <c r="F4" s="348">
        <v>45</v>
      </c>
      <c r="G4" s="348">
        <v>470</v>
      </c>
      <c r="H4" s="349">
        <v>0.03</v>
      </c>
      <c r="I4" s="325">
        <f>H4*G4</f>
        <v>14.1</v>
      </c>
      <c r="J4" s="328">
        <f>(((D4*E4)*C4)*F4)/I4</f>
        <v>468745.53191489354</v>
      </c>
      <c r="K4" s="351" t="s">
        <v>734</v>
      </c>
      <c r="L4" s="318">
        <f>VLOOKUP(K4,$A$51:$B$86,2,FALSE)</f>
        <v>500000</v>
      </c>
      <c r="M4" s="328">
        <f>G4-((((D4*E4)*C4)*F4)/L4)</f>
        <v>456.78137600000002</v>
      </c>
      <c r="N4" s="356">
        <f>(G4-M4)/G4</f>
        <v>2.8124731914893567E-2</v>
      </c>
      <c r="O4" s="352"/>
      <c r="IG4" s="108"/>
      <c r="IH4" s="108"/>
      <c r="II4" s="108"/>
      <c r="IJ4" s="108"/>
      <c r="IK4" s="108"/>
      <c r="IL4" s="108"/>
      <c r="IM4" s="108"/>
      <c r="IN4" s="108"/>
      <c r="IO4" s="108"/>
      <c r="IP4" s="108"/>
      <c r="IQ4" s="108"/>
      <c r="IR4" s="108"/>
      <c r="IS4" s="108"/>
      <c r="IT4" s="108"/>
      <c r="IU4" s="108"/>
    </row>
    <row r="5" spans="1:255" s="20" customFormat="1" ht="12.75" customHeight="1">
      <c r="A5" s="347" t="s">
        <v>238</v>
      </c>
      <c r="B5" s="348" t="s">
        <v>236</v>
      </c>
      <c r="C5" s="348">
        <v>2000</v>
      </c>
      <c r="D5" s="348">
        <v>1.732</v>
      </c>
      <c r="E5" s="348">
        <v>21.2</v>
      </c>
      <c r="F5" s="348">
        <v>25</v>
      </c>
      <c r="G5" s="348">
        <v>470</v>
      </c>
      <c r="H5" s="349">
        <v>0.03</v>
      </c>
      <c r="I5" s="325">
        <f>H5*G5</f>
        <v>14.1</v>
      </c>
      <c r="J5" s="328">
        <f>(((D5*E5)*C5)*F5)/I5</f>
        <v>130207.09219858155</v>
      </c>
      <c r="K5" s="351" t="s">
        <v>724</v>
      </c>
      <c r="L5" s="318">
        <f>VLOOKUP(K5,$A$51:$B$86,2,FALSE)</f>
        <v>133100</v>
      </c>
      <c r="M5" s="328">
        <f>G5-((((D5*E5)*C5)*F5)/L5)</f>
        <v>456.20646130728778</v>
      </c>
      <c r="N5" s="356">
        <f>(G5-M5)/G5</f>
        <v>2.9347954665345146E-2</v>
      </c>
      <c r="O5" s="352"/>
      <c r="IG5" s="108"/>
      <c r="IH5" s="108"/>
      <c r="II5" s="108"/>
      <c r="IJ5" s="108"/>
      <c r="IK5" s="108"/>
      <c r="IL5" s="108"/>
      <c r="IM5" s="108"/>
      <c r="IN5" s="108"/>
      <c r="IO5" s="108"/>
      <c r="IP5" s="108"/>
      <c r="IQ5" s="108"/>
      <c r="IR5" s="108"/>
      <c r="IS5" s="108"/>
      <c r="IT5" s="108"/>
      <c r="IU5" s="108"/>
    </row>
    <row r="6" spans="1:255" s="20" customFormat="1" ht="12.75" customHeight="1">
      <c r="A6" s="347" t="s">
        <v>239</v>
      </c>
      <c r="B6" s="348" t="s">
        <v>236</v>
      </c>
      <c r="C6" s="348">
        <v>2500</v>
      </c>
      <c r="D6" s="348">
        <v>1.732</v>
      </c>
      <c r="E6" s="348">
        <v>21.2</v>
      </c>
      <c r="F6" s="348">
        <v>50</v>
      </c>
      <c r="G6" s="348">
        <v>470</v>
      </c>
      <c r="H6" s="349">
        <v>0.03</v>
      </c>
      <c r="I6" s="325">
        <f>H6*G6</f>
        <v>14.1</v>
      </c>
      <c r="J6" s="328">
        <f>(((D6*E6)*C6)*F6)/I6</f>
        <v>325517.73049645382</v>
      </c>
      <c r="K6" s="351" t="s">
        <v>731</v>
      </c>
      <c r="L6" s="318">
        <f>VLOOKUP(K6,$A$51:$B$86,2,FALSE)</f>
        <v>350000</v>
      </c>
      <c r="M6" s="328">
        <f>G6-((((D6*E6)*C6)*F6)/L6)</f>
        <v>456.88628571428569</v>
      </c>
      <c r="N6" s="356">
        <f>(G6-M6)/G6</f>
        <v>2.7901519756838956E-2</v>
      </c>
      <c r="O6" s="352"/>
      <c r="IG6" s="108"/>
      <c r="IH6" s="108"/>
      <c r="II6" s="108"/>
      <c r="IJ6" s="108"/>
      <c r="IK6" s="108"/>
      <c r="IL6" s="108"/>
      <c r="IM6" s="108"/>
      <c r="IN6" s="108"/>
      <c r="IO6" s="108"/>
      <c r="IP6" s="108"/>
      <c r="IQ6" s="108"/>
      <c r="IR6" s="108"/>
      <c r="IS6" s="108"/>
      <c r="IT6" s="108"/>
      <c r="IU6" s="108"/>
    </row>
    <row r="7" spans="1:255" s="20" customFormat="1" ht="12.75" customHeight="1">
      <c r="A7" s="347" t="s">
        <v>240</v>
      </c>
      <c r="B7" s="348" t="s">
        <v>241</v>
      </c>
      <c r="C7" s="348">
        <v>1000</v>
      </c>
      <c r="D7" s="348">
        <v>1.732</v>
      </c>
      <c r="E7" s="348">
        <v>21.2</v>
      </c>
      <c r="F7" s="348">
        <v>25</v>
      </c>
      <c r="G7" s="348">
        <v>470</v>
      </c>
      <c r="H7" s="349">
        <v>0.03</v>
      </c>
      <c r="I7" s="325">
        <f>H7*G7</f>
        <v>14.1</v>
      </c>
      <c r="J7" s="328">
        <f>(((D7*E7)*C7)*F7)/I7</f>
        <v>65103.546099290776</v>
      </c>
      <c r="K7" s="351" t="s">
        <v>721</v>
      </c>
      <c r="L7" s="318">
        <f>VLOOKUP(K7,$A$51:$B$86,2,FALSE)</f>
        <v>66360</v>
      </c>
      <c r="M7" s="328">
        <f>G7-((((D7*E7)*C7)*F7)/L7)</f>
        <v>456.166968053044</v>
      </c>
      <c r="N7" s="356">
        <f>(G7-M7)/G7</f>
        <v>2.9431982865863827E-2</v>
      </c>
      <c r="O7" s="352"/>
      <c r="IG7" s="108"/>
      <c r="IH7" s="108"/>
      <c r="II7" s="108"/>
      <c r="IJ7" s="108"/>
      <c r="IK7" s="108"/>
      <c r="IL7" s="108"/>
      <c r="IM7" s="108"/>
      <c r="IN7" s="108"/>
      <c r="IO7" s="108"/>
      <c r="IP7" s="108"/>
      <c r="IQ7" s="108"/>
      <c r="IR7" s="108"/>
      <c r="IS7" s="108"/>
      <c r="IT7" s="108"/>
      <c r="IU7" s="108"/>
    </row>
    <row r="8" spans="1:255" s="20" customFormat="1" ht="12.75" customHeight="1">
      <c r="A8" s="350" t="s">
        <v>242</v>
      </c>
      <c r="B8" s="348" t="s">
        <v>243</v>
      </c>
      <c r="C8" s="348">
        <v>500</v>
      </c>
      <c r="D8" s="348">
        <v>1.732</v>
      </c>
      <c r="E8" s="348">
        <v>21.2</v>
      </c>
      <c r="F8" s="348">
        <v>25</v>
      </c>
      <c r="G8" s="348">
        <v>470</v>
      </c>
      <c r="H8" s="349">
        <v>0.03</v>
      </c>
      <c r="I8" s="325">
        <f>H8*G8</f>
        <v>14.1</v>
      </c>
      <c r="J8" s="328">
        <f>(((D8*E8)*C8)*F8)/I8</f>
        <v>32551.773049645388</v>
      </c>
      <c r="K8" s="351" t="s">
        <v>719</v>
      </c>
      <c r="L8" s="318">
        <f>VLOOKUP(K8,$A$51:$B$86,2,FALSE)</f>
        <v>41740</v>
      </c>
      <c r="M8" s="328">
        <f>G8-((((D8*E8)*C8)*F8)/L8)</f>
        <v>459.00383325347389</v>
      </c>
      <c r="N8" s="356">
        <f>(G8-M8)/G8</f>
        <v>2.3396099460693862E-2</v>
      </c>
      <c r="O8" s="352"/>
      <c r="IG8" s="108"/>
      <c r="IH8" s="108"/>
      <c r="II8" s="108"/>
      <c r="IJ8" s="108"/>
      <c r="IK8" s="108"/>
      <c r="IL8" s="108"/>
      <c r="IM8" s="108"/>
      <c r="IN8" s="108"/>
      <c r="IO8" s="108"/>
      <c r="IP8" s="108"/>
      <c r="IQ8" s="108"/>
      <c r="IR8" s="108"/>
      <c r="IS8" s="108"/>
      <c r="IT8" s="108"/>
      <c r="IU8" s="108"/>
    </row>
    <row r="9" spans="1:255" s="20" customFormat="1" ht="12.75" customHeight="1">
      <c r="A9" s="107"/>
      <c r="B9" s="107"/>
      <c r="C9" s="107"/>
      <c r="D9" s="107"/>
      <c r="E9" s="107"/>
      <c r="F9" s="107"/>
      <c r="G9" s="107"/>
      <c r="H9" s="107"/>
      <c r="I9" s="107"/>
      <c r="J9" s="107"/>
      <c r="K9" s="107"/>
      <c r="L9" s="107"/>
      <c r="M9" s="107"/>
      <c r="N9" s="323"/>
      <c r="O9" s="319"/>
      <c r="IG9" s="108"/>
      <c r="IH9" s="108"/>
      <c r="II9" s="108"/>
      <c r="IJ9" s="108"/>
      <c r="IK9" s="108"/>
      <c r="IL9" s="108"/>
      <c r="IM9" s="108"/>
      <c r="IN9" s="108"/>
      <c r="IO9" s="108"/>
      <c r="IP9" s="108"/>
      <c r="IQ9" s="108"/>
      <c r="IR9" s="108"/>
      <c r="IS9" s="108"/>
      <c r="IT9" s="108"/>
      <c r="IU9" s="108"/>
    </row>
    <row r="10" spans="1:255" ht="12.75" customHeight="1">
      <c r="A10" s="1302" t="s">
        <v>244</v>
      </c>
      <c r="B10" s="1302"/>
      <c r="C10" s="1302"/>
      <c r="D10" s="1302"/>
      <c r="E10" s="1302"/>
      <c r="F10" s="1302"/>
      <c r="G10" s="1302"/>
      <c r="H10" s="1302"/>
      <c r="I10" s="1302"/>
      <c r="J10" s="1302"/>
      <c r="K10" s="1302"/>
      <c r="L10" s="1302"/>
      <c r="M10" s="1302"/>
      <c r="N10" s="1302"/>
      <c r="O10" s="1302"/>
      <c r="P10" s="18"/>
      <c r="Q10" s="18"/>
    </row>
    <row r="11" spans="1:255" s="344" customFormat="1" ht="12.75" customHeight="1">
      <c r="C11" s="1290" t="s">
        <v>708</v>
      </c>
      <c r="D11" s="337"/>
      <c r="E11" s="342"/>
      <c r="F11" s="337"/>
      <c r="G11" s="1300" t="str">
        <f>M2</f>
        <v>VOLTS AT W.H.</v>
      </c>
      <c r="H11" s="337"/>
      <c r="I11" s="337"/>
      <c r="J11" s="1292" t="s">
        <v>749</v>
      </c>
      <c r="K11" s="1294" t="s">
        <v>750</v>
      </c>
      <c r="L11" s="1290" t="s">
        <v>748</v>
      </c>
      <c r="M11" s="1292" t="s">
        <v>753</v>
      </c>
      <c r="N11" s="1286" t="s">
        <v>711</v>
      </c>
      <c r="O11" s="337"/>
      <c r="T11" s="342"/>
      <c r="U11" s="342"/>
      <c r="V11" s="342"/>
      <c r="W11" s="342"/>
      <c r="X11" s="342"/>
      <c r="Y11" s="342"/>
      <c r="Z11" s="342"/>
      <c r="AA11" s="342"/>
      <c r="AB11" s="342"/>
      <c r="AC11" s="342"/>
      <c r="AD11" s="342"/>
      <c r="AE11" s="342"/>
      <c r="AF11" s="342"/>
      <c r="AG11" s="342"/>
      <c r="AH11" s="342"/>
      <c r="AI11" s="342"/>
      <c r="AJ11" s="342"/>
      <c r="AK11" s="342"/>
      <c r="AL11" s="342"/>
      <c r="AM11" s="342"/>
      <c r="AN11" s="342"/>
      <c r="AO11" s="342"/>
      <c r="AP11" s="342"/>
      <c r="AQ11" s="342"/>
      <c r="AR11" s="342"/>
      <c r="AS11" s="342"/>
      <c r="AT11" s="342"/>
      <c r="AU11" s="342"/>
      <c r="AV11" s="342"/>
      <c r="AW11" s="342"/>
      <c r="AX11" s="342"/>
      <c r="AY11" s="342"/>
      <c r="AZ11" s="342"/>
      <c r="BA11" s="342"/>
      <c r="BB11" s="342"/>
      <c r="BC11" s="342"/>
      <c r="BD11" s="342"/>
      <c r="BE11" s="342"/>
      <c r="BF11" s="342"/>
      <c r="BG11" s="342"/>
      <c r="BH11" s="342"/>
      <c r="BI11" s="342"/>
      <c r="BJ11" s="342"/>
      <c r="BK11" s="342"/>
      <c r="BL11" s="342"/>
      <c r="BM11" s="342"/>
      <c r="BN11" s="342"/>
      <c r="BO11" s="342"/>
      <c r="BP11" s="342"/>
      <c r="BQ11" s="342"/>
      <c r="BR11" s="342"/>
      <c r="BS11" s="342"/>
      <c r="BT11" s="342"/>
      <c r="BU11" s="342"/>
      <c r="BV11" s="342"/>
      <c r="BW11" s="342"/>
      <c r="BX11" s="342"/>
      <c r="BY11" s="342"/>
      <c r="BZ11" s="342"/>
      <c r="CA11" s="342"/>
      <c r="CB11" s="342"/>
      <c r="CC11" s="342"/>
      <c r="CD11" s="342"/>
      <c r="CE11" s="342"/>
      <c r="CF11" s="342"/>
      <c r="CG11" s="342"/>
      <c r="CH11" s="342"/>
      <c r="CI11" s="342"/>
      <c r="CJ11" s="342"/>
      <c r="CK11" s="342"/>
      <c r="CL11" s="342"/>
      <c r="CM11" s="342"/>
      <c r="CN11" s="342"/>
      <c r="CO11" s="342"/>
      <c r="CP11" s="342"/>
      <c r="CQ11" s="342"/>
      <c r="CR11" s="342"/>
      <c r="CS11" s="342"/>
      <c r="CT11" s="342"/>
      <c r="CU11" s="342"/>
      <c r="CV11" s="342"/>
      <c r="CW11" s="342"/>
      <c r="CX11" s="342"/>
      <c r="CY11" s="342"/>
      <c r="CZ11" s="342"/>
      <c r="DA11" s="342"/>
      <c r="DB11" s="342"/>
      <c r="DC11" s="342"/>
      <c r="DD11" s="342"/>
      <c r="DE11" s="342"/>
      <c r="DF11" s="342"/>
      <c r="DG11" s="342"/>
      <c r="DH11" s="342"/>
      <c r="DI11" s="342"/>
      <c r="DJ11" s="342"/>
      <c r="DK11" s="342"/>
      <c r="DL11" s="342"/>
      <c r="DM11" s="342"/>
      <c r="DN11" s="342"/>
      <c r="DO11" s="342"/>
      <c r="DP11" s="342"/>
      <c r="DQ11" s="342"/>
      <c r="DR11" s="342"/>
      <c r="DS11" s="342"/>
      <c r="DT11" s="342"/>
      <c r="DU11" s="342"/>
      <c r="DV11" s="342"/>
      <c r="DW11" s="342"/>
      <c r="DX11" s="342"/>
      <c r="DY11" s="342"/>
      <c r="DZ11" s="342"/>
      <c r="EA11" s="342"/>
      <c r="EB11" s="342"/>
      <c r="EC11" s="342"/>
      <c r="ED11" s="342"/>
      <c r="EE11" s="342"/>
      <c r="EF11" s="342"/>
      <c r="EG11" s="342"/>
      <c r="EH11" s="342"/>
      <c r="EI11" s="342"/>
      <c r="EJ11" s="342"/>
      <c r="EK11" s="342"/>
      <c r="EL11" s="342"/>
      <c r="EM11" s="342"/>
      <c r="EN11" s="342"/>
      <c r="EO11" s="342"/>
      <c r="EP11" s="342"/>
      <c r="EQ11" s="342"/>
      <c r="ER11" s="342"/>
      <c r="ES11" s="342"/>
      <c r="ET11" s="342"/>
      <c r="EU11" s="342"/>
      <c r="EV11" s="342"/>
      <c r="EW11" s="342"/>
      <c r="EX11" s="342"/>
      <c r="EY11" s="342"/>
      <c r="EZ11" s="342"/>
      <c r="FA11" s="342"/>
      <c r="FB11" s="342"/>
      <c r="FC11" s="342"/>
      <c r="FD11" s="342"/>
      <c r="FE11" s="342"/>
      <c r="FF11" s="342"/>
      <c r="FG11" s="342"/>
      <c r="FH11" s="342"/>
      <c r="FI11" s="342"/>
      <c r="FJ11" s="342"/>
      <c r="FK11" s="342"/>
      <c r="FL11" s="342"/>
      <c r="FM11" s="342"/>
      <c r="FN11" s="342"/>
      <c r="FO11" s="342"/>
      <c r="FP11" s="342"/>
      <c r="FQ11" s="342"/>
      <c r="FR11" s="342"/>
      <c r="FS11" s="342"/>
      <c r="FT11" s="342"/>
      <c r="FU11" s="342"/>
      <c r="FV11" s="342"/>
      <c r="FW11" s="342"/>
      <c r="FX11" s="342"/>
      <c r="FY11" s="342"/>
      <c r="FZ11" s="342"/>
      <c r="GA11" s="342"/>
      <c r="GB11" s="342"/>
      <c r="GC11" s="342"/>
      <c r="GD11" s="342"/>
      <c r="GE11" s="342"/>
      <c r="GF11" s="342"/>
      <c r="GG11" s="342"/>
      <c r="GH11" s="342"/>
      <c r="GI11" s="342"/>
      <c r="GJ11" s="342"/>
      <c r="GK11" s="342"/>
      <c r="GL11" s="342"/>
      <c r="GM11" s="342"/>
      <c r="GN11" s="342"/>
      <c r="GO11" s="342"/>
      <c r="GP11" s="342"/>
      <c r="GQ11" s="342"/>
      <c r="GR11" s="342"/>
      <c r="GS11" s="342"/>
      <c r="GT11" s="342"/>
      <c r="GU11" s="342"/>
      <c r="GV11" s="342"/>
      <c r="GW11" s="342"/>
      <c r="GX11" s="342"/>
      <c r="GY11" s="342"/>
      <c r="GZ11" s="342"/>
      <c r="HA11" s="342"/>
      <c r="HB11" s="342"/>
      <c r="HC11" s="342"/>
      <c r="HD11" s="342"/>
      <c r="HE11" s="342"/>
      <c r="HF11" s="342"/>
      <c r="HG11" s="342"/>
      <c r="HH11" s="342"/>
      <c r="HI11" s="342"/>
      <c r="HJ11" s="342"/>
      <c r="HK11" s="342"/>
      <c r="HL11" s="342"/>
      <c r="HM11" s="342"/>
      <c r="HN11" s="342"/>
      <c r="HO11" s="342"/>
      <c r="HP11" s="342"/>
      <c r="HQ11" s="342"/>
      <c r="HR11" s="342"/>
      <c r="HS11" s="342"/>
      <c r="HT11" s="342"/>
      <c r="HU11" s="342"/>
      <c r="HV11" s="342"/>
      <c r="HW11" s="342"/>
      <c r="HX11" s="342"/>
      <c r="HY11" s="342"/>
      <c r="HZ11" s="342"/>
      <c r="IA11" s="342"/>
      <c r="IB11" s="342"/>
      <c r="IC11" s="342"/>
      <c r="ID11" s="342"/>
      <c r="IE11" s="342"/>
      <c r="IF11" s="342"/>
      <c r="IG11" s="342"/>
      <c r="IH11" s="342"/>
    </row>
    <row r="12" spans="1:255" s="346" customFormat="1" ht="12.75" customHeight="1">
      <c r="A12" s="341" t="s">
        <v>224</v>
      </c>
      <c r="B12" s="341" t="s">
        <v>225</v>
      </c>
      <c r="C12" s="1291"/>
      <c r="D12" s="338" t="s">
        <v>227</v>
      </c>
      <c r="E12" s="338" t="s">
        <v>27</v>
      </c>
      <c r="F12" s="338" t="s">
        <v>229</v>
      </c>
      <c r="G12" s="1301"/>
      <c r="H12" s="340" t="s">
        <v>231</v>
      </c>
      <c r="I12" s="338" t="s">
        <v>232</v>
      </c>
      <c r="J12" s="1293"/>
      <c r="K12" s="1295"/>
      <c r="L12" s="1291"/>
      <c r="M12" s="1293"/>
      <c r="N12" s="1287"/>
      <c r="O12" s="345" t="s">
        <v>707</v>
      </c>
      <c r="P12" s="345"/>
      <c r="U12" s="345"/>
      <c r="V12" s="345"/>
      <c r="W12" s="345"/>
      <c r="X12" s="345"/>
      <c r="Y12" s="345"/>
      <c r="Z12" s="345"/>
      <c r="AA12" s="345"/>
      <c r="AB12" s="345"/>
      <c r="AC12" s="345"/>
      <c r="AD12" s="345"/>
      <c r="AE12" s="345"/>
      <c r="AF12" s="345"/>
      <c r="AG12" s="345"/>
      <c r="AH12" s="345"/>
      <c r="AI12" s="345"/>
      <c r="AJ12" s="345"/>
      <c r="AK12" s="345"/>
      <c r="AL12" s="345"/>
      <c r="AM12" s="345"/>
      <c r="AN12" s="345"/>
      <c r="AO12" s="345"/>
      <c r="AP12" s="345"/>
      <c r="AQ12" s="345"/>
      <c r="AR12" s="345"/>
      <c r="AS12" s="345"/>
      <c r="AT12" s="345"/>
      <c r="AU12" s="345"/>
      <c r="AV12" s="345"/>
      <c r="AW12" s="345"/>
      <c r="AX12" s="345"/>
      <c r="AY12" s="345"/>
      <c r="AZ12" s="345"/>
      <c r="BA12" s="345"/>
      <c r="BB12" s="345"/>
      <c r="BC12" s="345"/>
      <c r="BD12" s="345"/>
      <c r="BE12" s="345"/>
      <c r="BF12" s="345"/>
      <c r="BG12" s="345"/>
      <c r="BH12" s="345"/>
      <c r="BI12" s="345"/>
      <c r="BJ12" s="345"/>
      <c r="BK12" s="345"/>
      <c r="BL12" s="345"/>
      <c r="BM12" s="345"/>
      <c r="BN12" s="345"/>
      <c r="BO12" s="345"/>
      <c r="BP12" s="345"/>
      <c r="BQ12" s="345"/>
      <c r="BR12" s="345"/>
      <c r="BS12" s="345"/>
      <c r="BT12" s="345"/>
      <c r="BU12" s="345"/>
      <c r="BV12" s="345"/>
      <c r="BW12" s="345"/>
      <c r="BX12" s="345"/>
      <c r="BY12" s="345"/>
      <c r="BZ12" s="345"/>
      <c r="CA12" s="345"/>
      <c r="CB12" s="345"/>
      <c r="CC12" s="345"/>
      <c r="CD12" s="345"/>
      <c r="CE12" s="345"/>
      <c r="CF12" s="345"/>
      <c r="CG12" s="345"/>
      <c r="CH12" s="345"/>
      <c r="CI12" s="345"/>
      <c r="CJ12" s="345"/>
      <c r="CK12" s="345"/>
      <c r="CL12" s="345"/>
      <c r="CM12" s="345"/>
      <c r="CN12" s="345"/>
      <c r="CO12" s="345"/>
      <c r="CP12" s="345"/>
      <c r="CQ12" s="345"/>
      <c r="CR12" s="345"/>
      <c r="CS12" s="345"/>
      <c r="CT12" s="345"/>
      <c r="CU12" s="345"/>
      <c r="CV12" s="345"/>
      <c r="CW12" s="345"/>
      <c r="CX12" s="345"/>
      <c r="CY12" s="345"/>
      <c r="CZ12" s="345"/>
      <c r="DA12" s="345"/>
      <c r="DB12" s="345"/>
      <c r="DC12" s="345"/>
      <c r="DD12" s="345"/>
      <c r="DE12" s="345"/>
      <c r="DF12" s="345"/>
      <c r="DG12" s="345"/>
      <c r="DH12" s="345"/>
      <c r="DI12" s="345"/>
      <c r="DJ12" s="345"/>
      <c r="DK12" s="345"/>
      <c r="DL12" s="345"/>
      <c r="DM12" s="345"/>
      <c r="DN12" s="345"/>
      <c r="DO12" s="345"/>
      <c r="DP12" s="345"/>
      <c r="DQ12" s="345"/>
      <c r="DR12" s="345"/>
      <c r="DS12" s="345"/>
      <c r="DT12" s="345"/>
      <c r="DU12" s="345"/>
      <c r="DV12" s="345"/>
      <c r="DW12" s="345"/>
      <c r="DX12" s="345"/>
      <c r="DY12" s="345"/>
      <c r="DZ12" s="345"/>
      <c r="EA12" s="345"/>
      <c r="EB12" s="345"/>
      <c r="EC12" s="345"/>
      <c r="ED12" s="345"/>
      <c r="EE12" s="345"/>
      <c r="EF12" s="345"/>
      <c r="EG12" s="345"/>
      <c r="EH12" s="345"/>
      <c r="EI12" s="345"/>
      <c r="EJ12" s="345"/>
      <c r="EK12" s="345"/>
      <c r="EL12" s="345"/>
      <c r="EM12" s="345"/>
      <c r="EN12" s="345"/>
      <c r="EO12" s="345"/>
      <c r="EP12" s="345"/>
      <c r="EQ12" s="345"/>
      <c r="ER12" s="345"/>
      <c r="ES12" s="345"/>
      <c r="ET12" s="345"/>
      <c r="EU12" s="345"/>
      <c r="EV12" s="345"/>
      <c r="EW12" s="345"/>
      <c r="EX12" s="345"/>
      <c r="EY12" s="345"/>
      <c r="EZ12" s="345"/>
      <c r="FA12" s="345"/>
      <c r="FB12" s="345"/>
      <c r="FC12" s="345"/>
      <c r="FD12" s="345"/>
      <c r="FE12" s="345"/>
      <c r="FF12" s="345"/>
      <c r="FG12" s="345"/>
      <c r="FH12" s="345"/>
      <c r="FI12" s="345"/>
      <c r="FJ12" s="345"/>
      <c r="FK12" s="345"/>
      <c r="FL12" s="345"/>
      <c r="FM12" s="345"/>
      <c r="FN12" s="345"/>
      <c r="FO12" s="345"/>
      <c r="FP12" s="345"/>
      <c r="FQ12" s="345"/>
      <c r="FR12" s="345"/>
      <c r="FS12" s="345"/>
      <c r="FT12" s="345"/>
      <c r="FU12" s="345"/>
      <c r="FV12" s="345"/>
      <c r="FW12" s="345"/>
      <c r="FX12" s="345"/>
      <c r="FY12" s="345"/>
      <c r="FZ12" s="345"/>
      <c r="GA12" s="345"/>
      <c r="GB12" s="345"/>
      <c r="GC12" s="345"/>
      <c r="GD12" s="345"/>
      <c r="GE12" s="345"/>
      <c r="GF12" s="345"/>
      <c r="GG12" s="345"/>
      <c r="GH12" s="345"/>
      <c r="GI12" s="345"/>
      <c r="GJ12" s="345"/>
      <c r="GK12" s="345"/>
      <c r="GL12" s="345"/>
      <c r="GM12" s="345"/>
      <c r="GN12" s="345"/>
      <c r="GO12" s="345"/>
      <c r="GP12" s="345"/>
      <c r="GQ12" s="345"/>
      <c r="GR12" s="345"/>
      <c r="GS12" s="345"/>
      <c r="GT12" s="345"/>
      <c r="GU12" s="345"/>
      <c r="GV12" s="345"/>
      <c r="GW12" s="345"/>
      <c r="GX12" s="345"/>
      <c r="GY12" s="345"/>
      <c r="GZ12" s="345"/>
      <c r="HA12" s="345"/>
      <c r="HB12" s="345"/>
      <c r="HC12" s="345"/>
      <c r="HD12" s="345"/>
      <c r="HE12" s="345"/>
      <c r="HF12" s="345"/>
      <c r="HG12" s="345"/>
      <c r="HH12" s="345"/>
      <c r="HI12" s="345"/>
      <c r="HJ12" s="345"/>
      <c r="HK12" s="345"/>
      <c r="HL12" s="345"/>
      <c r="HM12" s="345"/>
      <c r="HN12" s="345"/>
      <c r="HO12" s="345"/>
      <c r="HP12" s="345"/>
      <c r="HQ12" s="345"/>
      <c r="HR12" s="345"/>
      <c r="HS12" s="345"/>
      <c r="HT12" s="345"/>
      <c r="HU12" s="345"/>
      <c r="HV12" s="345"/>
      <c r="HW12" s="345"/>
      <c r="HX12" s="345"/>
      <c r="HY12" s="345"/>
      <c r="HZ12" s="345"/>
      <c r="IA12" s="345"/>
      <c r="IB12" s="345"/>
      <c r="IC12" s="345"/>
      <c r="ID12" s="345"/>
      <c r="IE12" s="345"/>
      <c r="IF12" s="345"/>
      <c r="IG12" s="345"/>
      <c r="IH12" s="345"/>
      <c r="II12" s="345"/>
    </row>
    <row r="13" spans="1:255" s="20" customFormat="1" ht="12.75" customHeight="1">
      <c r="A13" s="324" t="str">
        <f t="shared" ref="A13:B17" si="0">A4</f>
        <v>WELL 1</v>
      </c>
      <c r="B13" s="325" t="str">
        <f t="shared" si="0"/>
        <v>PD1</v>
      </c>
      <c r="C13" s="348">
        <v>1000</v>
      </c>
      <c r="D13" s="325">
        <f>D4</f>
        <v>1.732</v>
      </c>
      <c r="E13" s="348">
        <v>12.9</v>
      </c>
      <c r="F13" s="325">
        <f>F4</f>
        <v>45</v>
      </c>
      <c r="G13" s="326">
        <f>M4</f>
        <v>456.78137600000002</v>
      </c>
      <c r="H13" s="349">
        <v>0.03</v>
      </c>
      <c r="I13" s="327">
        <f>M4*H13</f>
        <v>13.70344128</v>
      </c>
      <c r="J13" s="328">
        <f>(((D13*E13)*C13)*F13)/I13</f>
        <v>73370.329354233574</v>
      </c>
      <c r="K13" s="351" t="s">
        <v>722</v>
      </c>
      <c r="L13" s="318">
        <f>VLOOKUP(K13,$A$51:$B$86,2,FALSE)</f>
        <v>83690</v>
      </c>
      <c r="M13" s="328">
        <f>M4-((((D4*E13)*C13)*F4)/L13)</f>
        <v>444.767682607719</v>
      </c>
      <c r="N13" s="355">
        <f>(G4-M13)/G4</f>
        <v>5.3685781685704266E-2</v>
      </c>
      <c r="O13" s="352"/>
      <c r="P13" s="319"/>
      <c r="Q13" s="108"/>
      <c r="R13" s="108"/>
      <c r="S13" s="108"/>
      <c r="T13" s="108"/>
      <c r="IJ13" s="108"/>
      <c r="IK13" s="108"/>
      <c r="IL13" s="108"/>
      <c r="IM13" s="108"/>
      <c r="IN13" s="108"/>
      <c r="IO13" s="108"/>
      <c r="IP13" s="108"/>
      <c r="IQ13" s="108"/>
      <c r="IR13" s="108"/>
      <c r="IS13" s="108"/>
      <c r="IT13" s="108"/>
      <c r="IU13" s="108"/>
    </row>
    <row r="14" spans="1:255" s="20" customFormat="1" ht="12.75" customHeight="1">
      <c r="A14" s="324" t="str">
        <f t="shared" si="0"/>
        <v>WELL 2</v>
      </c>
      <c r="B14" s="325" t="str">
        <f t="shared" si="0"/>
        <v>PD1</v>
      </c>
      <c r="C14" s="348">
        <v>1000</v>
      </c>
      <c r="D14" s="325">
        <f>D5</f>
        <v>1.732</v>
      </c>
      <c r="E14" s="348">
        <v>12.9</v>
      </c>
      <c r="F14" s="325">
        <f>F5</f>
        <v>25</v>
      </c>
      <c r="G14" s="326">
        <f>M5</f>
        <v>456.20646130728778</v>
      </c>
      <c r="H14" s="349">
        <v>0.03</v>
      </c>
      <c r="I14" s="327">
        <f>M5*H14</f>
        <v>13.686193839218634</v>
      </c>
      <c r="J14" s="328">
        <f>(((D14*E14)*C14)*F14)/I14</f>
        <v>40812.661764250566</v>
      </c>
      <c r="K14" s="351" t="s">
        <v>719</v>
      </c>
      <c r="L14" s="318">
        <f>VLOOKUP(K14,$A$51:$B$86,2,FALSE)</f>
        <v>41740</v>
      </c>
      <c r="M14" s="328">
        <f>M5-((((D5*E14)*C14)*F5)/L14)</f>
        <v>442.82433385160977</v>
      </c>
      <c r="N14" s="355">
        <f>(G5-M14)/G5</f>
        <v>5.7820566273170712E-2</v>
      </c>
      <c r="O14" s="352"/>
      <c r="P14" s="319"/>
      <c r="Q14" s="108"/>
      <c r="R14" s="108"/>
      <c r="S14" s="108"/>
      <c r="T14" s="108"/>
      <c r="IJ14" s="108"/>
      <c r="IK14" s="108"/>
      <c r="IL14" s="108"/>
      <c r="IM14" s="108"/>
      <c r="IN14" s="108"/>
      <c r="IO14" s="108"/>
      <c r="IP14" s="108"/>
      <c r="IQ14" s="108"/>
      <c r="IR14" s="108"/>
      <c r="IS14" s="108"/>
      <c r="IT14" s="108"/>
      <c r="IU14" s="108"/>
    </row>
    <row r="15" spans="1:255" s="20" customFormat="1" ht="12.75" customHeight="1">
      <c r="A15" s="324" t="str">
        <f t="shared" si="0"/>
        <v>WELL 3</v>
      </c>
      <c r="B15" s="325" t="str">
        <f t="shared" si="0"/>
        <v>PD1</v>
      </c>
      <c r="C15" s="348">
        <v>1000</v>
      </c>
      <c r="D15" s="325">
        <f>D6</f>
        <v>1.732</v>
      </c>
      <c r="E15" s="348">
        <v>12.9</v>
      </c>
      <c r="F15" s="325">
        <f>F6</f>
        <v>50</v>
      </c>
      <c r="G15" s="326">
        <f>M6</f>
        <v>456.88628571428569</v>
      </c>
      <c r="H15" s="349">
        <v>0.03</v>
      </c>
      <c r="I15" s="327">
        <f>M6*H15</f>
        <v>13.70658857142857</v>
      </c>
      <c r="J15" s="328">
        <f>(((D15*E15)*C15)*F15)/I15</f>
        <v>81503.869046502354</v>
      </c>
      <c r="K15" s="351" t="s">
        <v>722</v>
      </c>
      <c r="L15" s="318">
        <f>VLOOKUP(K15,$A$51:$B$86,2,FALSE)</f>
        <v>83690</v>
      </c>
      <c r="M15" s="328">
        <f>M6-((((D6*E15)*C15)*F6)/L15)</f>
        <v>443.53773750064011</v>
      </c>
      <c r="N15" s="355">
        <f>(G6-M15)/G6</f>
        <v>5.6302686168850841E-2</v>
      </c>
      <c r="O15" s="352"/>
      <c r="P15" s="319"/>
      <c r="Q15" s="108"/>
      <c r="R15" s="108"/>
      <c r="S15" s="108"/>
      <c r="T15" s="108"/>
      <c r="IJ15" s="108"/>
      <c r="IK15" s="108"/>
      <c r="IL15" s="108"/>
      <c r="IM15" s="108"/>
      <c r="IN15" s="108"/>
      <c r="IO15" s="108"/>
      <c r="IP15" s="108"/>
      <c r="IQ15" s="108"/>
      <c r="IR15" s="108"/>
      <c r="IS15" s="108"/>
      <c r="IT15" s="108"/>
      <c r="IU15" s="108"/>
    </row>
    <row r="16" spans="1:255" s="20" customFormat="1" ht="12.75" customHeight="1">
      <c r="A16" s="324" t="str">
        <f t="shared" si="0"/>
        <v>WELL 4</v>
      </c>
      <c r="B16" s="325" t="str">
        <f t="shared" si="0"/>
        <v>PD2</v>
      </c>
      <c r="C16" s="348">
        <v>1000</v>
      </c>
      <c r="D16" s="325">
        <f>D7</f>
        <v>1.732</v>
      </c>
      <c r="E16" s="348">
        <v>12.9</v>
      </c>
      <c r="F16" s="325">
        <f>F7</f>
        <v>25</v>
      </c>
      <c r="G16" s="326">
        <f>M7</f>
        <v>456.166968053044</v>
      </c>
      <c r="H16" s="349">
        <v>0.03</v>
      </c>
      <c r="I16" s="327">
        <f>M7*H16</f>
        <v>13.68500904159132</v>
      </c>
      <c r="J16" s="328">
        <f>(((D16*E16)*C16)*F16)/I16</f>
        <v>40816.195174033179</v>
      </c>
      <c r="K16" s="351" t="s">
        <v>719</v>
      </c>
      <c r="L16" s="318">
        <f>VLOOKUP(K16,$A$51:$B$86,2,FALSE)</f>
        <v>41740</v>
      </c>
      <c r="M16" s="328">
        <f>M7-((((D7*E16)*C16)*F7)/L16)</f>
        <v>442.78484059736599</v>
      </c>
      <c r="N16" s="355">
        <f>(G7-M16)/G7</f>
        <v>5.790459447368939E-2</v>
      </c>
      <c r="O16" s="352"/>
      <c r="P16" s="319"/>
      <c r="Q16" s="108"/>
      <c r="R16" s="108"/>
      <c r="S16" s="108"/>
      <c r="T16" s="108"/>
      <c r="IJ16" s="108"/>
      <c r="IK16" s="108"/>
      <c r="IL16" s="108"/>
      <c r="IM16" s="108"/>
      <c r="IN16" s="108"/>
      <c r="IO16" s="108"/>
      <c r="IP16" s="108"/>
      <c r="IQ16" s="108"/>
      <c r="IR16" s="108"/>
      <c r="IS16" s="108"/>
      <c r="IT16" s="108"/>
      <c r="IU16" s="108"/>
    </row>
    <row r="17" spans="1:255" s="20" customFormat="1" ht="12.75" customHeight="1">
      <c r="A17" s="324" t="str">
        <f t="shared" si="0"/>
        <v>WELL 5</v>
      </c>
      <c r="B17" s="325" t="str">
        <f t="shared" si="0"/>
        <v>PD3</v>
      </c>
      <c r="C17" s="348">
        <v>1000</v>
      </c>
      <c r="D17" s="325">
        <f>D8</f>
        <v>1.732</v>
      </c>
      <c r="E17" s="348">
        <v>12.9</v>
      </c>
      <c r="F17" s="325">
        <f>F8</f>
        <v>25</v>
      </c>
      <c r="G17" s="326">
        <f>M8</f>
        <v>459.00383325347389</v>
      </c>
      <c r="H17" s="349">
        <v>0.03</v>
      </c>
      <c r="I17" s="327">
        <f>M8*H17</f>
        <v>13.770114997604216</v>
      </c>
      <c r="J17" s="328">
        <f>(((D17*E17)*C17)*F17)/I17</f>
        <v>40563.931390346588</v>
      </c>
      <c r="K17" s="351" t="s">
        <v>719</v>
      </c>
      <c r="L17" s="318">
        <f>VLOOKUP(K17,$A$51:$B$86,2,FALSE)</f>
        <v>41740</v>
      </c>
      <c r="M17" s="328">
        <f>M8-((((D8*E17)*C17)*F8)/L17)</f>
        <v>445.62170579779587</v>
      </c>
      <c r="N17" s="355">
        <f>(G8-M17)/G8</f>
        <v>5.1868711068519431E-2</v>
      </c>
      <c r="O17" s="352"/>
      <c r="P17" s="319"/>
      <c r="Q17" s="108"/>
      <c r="R17" s="108"/>
      <c r="S17" s="108"/>
      <c r="T17" s="108"/>
      <c r="IJ17" s="108"/>
      <c r="IK17" s="108"/>
      <c r="IL17" s="108"/>
      <c r="IM17" s="108"/>
      <c r="IN17" s="108"/>
      <c r="IO17" s="108"/>
      <c r="IP17" s="108"/>
      <c r="IQ17" s="108"/>
      <c r="IR17" s="108"/>
      <c r="IS17" s="108"/>
      <c r="IT17" s="108"/>
      <c r="IU17" s="108"/>
    </row>
    <row r="18" spans="1:255" ht="12.75" customHeight="1">
      <c r="B18" s="18"/>
      <c r="C18" s="18"/>
      <c r="D18" s="18"/>
      <c r="E18" s="18"/>
      <c r="F18" s="18"/>
      <c r="G18" s="18"/>
      <c r="H18" s="18"/>
      <c r="I18" s="18"/>
      <c r="J18" s="18"/>
      <c r="K18" s="18"/>
      <c r="L18" s="18"/>
      <c r="M18" s="18"/>
      <c r="N18" s="322"/>
      <c r="O18" s="320"/>
      <c r="P18" s="18"/>
      <c r="Q18" s="18"/>
    </row>
    <row r="19" spans="1:255" ht="12.75" customHeight="1">
      <c r="A19" s="379" t="s">
        <v>666</v>
      </c>
      <c r="B19" s="108"/>
      <c r="C19" s="108"/>
      <c r="D19" s="108"/>
      <c r="E19" s="108"/>
      <c r="F19" s="108"/>
      <c r="G19" s="108"/>
      <c r="H19" s="108"/>
      <c r="I19" s="108"/>
      <c r="J19" s="108"/>
      <c r="K19" s="108"/>
      <c r="L19" s="108"/>
      <c r="M19" s="18"/>
      <c r="N19" s="322"/>
      <c r="O19" s="320"/>
      <c r="P19" s="18"/>
      <c r="Q19" s="18"/>
    </row>
    <row r="20" spans="1:255" ht="12.75" customHeight="1">
      <c r="A20" s="380" t="s">
        <v>762</v>
      </c>
      <c r="B20" s="108"/>
      <c r="C20" s="108"/>
      <c r="D20" s="108"/>
      <c r="E20" s="108"/>
      <c r="F20" s="108"/>
      <c r="G20" s="108"/>
      <c r="H20" s="108"/>
      <c r="I20" s="108"/>
      <c r="J20" s="108"/>
      <c r="K20" s="108"/>
      <c r="L20" s="108"/>
      <c r="M20" s="18"/>
      <c r="N20" s="322"/>
      <c r="O20" s="320"/>
      <c r="P20" s="18"/>
      <c r="Q20" s="18"/>
    </row>
    <row r="21" spans="1:255" ht="12.75" customHeight="1">
      <c r="A21" s="136" t="s">
        <v>763</v>
      </c>
      <c r="B21" s="108"/>
      <c r="C21" s="108"/>
      <c r="D21" s="108"/>
      <c r="E21" s="108"/>
      <c r="F21" s="108"/>
      <c r="G21" s="108"/>
      <c r="H21" s="108"/>
      <c r="I21" s="108"/>
      <c r="J21" s="108"/>
      <c r="K21" s="108"/>
      <c r="L21" s="108"/>
      <c r="M21" s="18"/>
      <c r="N21" s="322"/>
      <c r="O21" s="320"/>
      <c r="P21" s="18"/>
      <c r="Q21" s="18"/>
    </row>
    <row r="22" spans="1:255" ht="12.75" customHeight="1">
      <c r="A22" s="379" t="s">
        <v>766</v>
      </c>
      <c r="B22" s="108"/>
      <c r="C22" s="108"/>
      <c r="D22" s="108"/>
      <c r="E22" s="108"/>
      <c r="F22" s="108"/>
      <c r="G22" s="108"/>
      <c r="H22" s="108"/>
      <c r="I22" s="108"/>
      <c r="J22" s="108"/>
      <c r="K22" s="108"/>
      <c r="L22" s="108"/>
      <c r="M22" s="18"/>
      <c r="N22" s="322"/>
      <c r="O22" s="320"/>
      <c r="P22" s="18"/>
      <c r="Q22" s="18"/>
    </row>
    <row r="23" spans="1:255" ht="12.75" customHeight="1">
      <c r="A23" s="379" t="s">
        <v>3</v>
      </c>
      <c r="B23" s="108"/>
      <c r="C23" s="108"/>
      <c r="D23" s="108"/>
      <c r="E23" s="108"/>
      <c r="F23" s="108"/>
      <c r="G23" s="108"/>
      <c r="H23" s="108"/>
      <c r="I23" s="108"/>
      <c r="J23" s="108"/>
      <c r="K23" s="108"/>
      <c r="L23" s="108"/>
      <c r="M23" s="18"/>
      <c r="N23" s="322"/>
      <c r="O23" s="320"/>
      <c r="P23" s="18"/>
      <c r="Q23" s="18"/>
    </row>
    <row r="24" spans="1:255" ht="12.75" customHeight="1">
      <c r="A24" s="249"/>
      <c r="B24" s="108"/>
      <c r="C24" s="108"/>
      <c r="D24" s="108"/>
      <c r="E24" s="108"/>
      <c r="F24" s="108"/>
      <c r="G24" s="108"/>
      <c r="H24" s="108"/>
      <c r="I24" s="108"/>
      <c r="J24" s="108"/>
      <c r="K24" s="108"/>
      <c r="L24" s="108"/>
      <c r="M24" s="18"/>
      <c r="N24" s="322"/>
      <c r="O24" s="320"/>
      <c r="P24" s="18"/>
      <c r="Q24" s="18"/>
    </row>
    <row r="25" spans="1:255" ht="12.75" customHeight="1">
      <c r="A25" s="107"/>
      <c r="B25" s="1296" t="s">
        <v>250</v>
      </c>
      <c r="C25" s="1298" t="s">
        <v>251</v>
      </c>
      <c r="D25" s="20"/>
      <c r="E25" s="107"/>
      <c r="F25" s="107"/>
      <c r="G25" s="330"/>
      <c r="H25" s="330"/>
      <c r="I25" s="107"/>
      <c r="J25" s="107"/>
      <c r="K25" s="107"/>
      <c r="L25" s="108"/>
      <c r="M25" s="18"/>
      <c r="N25" s="322"/>
      <c r="O25" s="320"/>
      <c r="P25" s="18"/>
      <c r="Q25" s="18"/>
    </row>
    <row r="26" spans="1:255" ht="12.75" customHeight="1">
      <c r="A26" s="128" t="s">
        <v>252</v>
      </c>
      <c r="B26" s="1297"/>
      <c r="C26" s="1299"/>
      <c r="D26" s="20"/>
      <c r="E26" s="331"/>
      <c r="F26" s="331" t="s">
        <v>42</v>
      </c>
      <c r="G26" s="321" t="s">
        <v>39</v>
      </c>
      <c r="H26" s="321" t="s">
        <v>40</v>
      </c>
      <c r="I26" s="107"/>
      <c r="O26" s="332"/>
      <c r="P26" s="18"/>
      <c r="Q26" s="18"/>
    </row>
    <row r="27" spans="1:255" ht="12.75" customHeight="1">
      <c r="A27" s="120">
        <v>2</v>
      </c>
      <c r="B27" s="120">
        <v>3.4</v>
      </c>
      <c r="C27" s="336">
        <v>12</v>
      </c>
      <c r="D27" s="131"/>
      <c r="E27" s="310" t="s">
        <v>702</v>
      </c>
      <c r="F27" s="298">
        <v>105600</v>
      </c>
      <c r="G27" s="325">
        <f>F27*2</f>
        <v>211200</v>
      </c>
      <c r="H27" s="325">
        <f>F27*3</f>
        <v>316800</v>
      </c>
      <c r="I27" s="107"/>
      <c r="O27" s="332"/>
      <c r="P27" s="18"/>
      <c r="Q27" s="18"/>
    </row>
    <row r="28" spans="1:255" ht="12.75" customHeight="1">
      <c r="A28" s="120">
        <v>3</v>
      </c>
      <c r="B28" s="120">
        <v>4.8</v>
      </c>
      <c r="C28" s="336">
        <v>17</v>
      </c>
      <c r="D28" s="131"/>
      <c r="E28" s="298" t="s">
        <v>705</v>
      </c>
      <c r="F28" s="298">
        <v>211600</v>
      </c>
      <c r="G28" s="325">
        <f>F28*2</f>
        <v>423200</v>
      </c>
      <c r="H28" s="325">
        <f>F28*3</f>
        <v>634800</v>
      </c>
      <c r="I28" s="107"/>
      <c r="O28" s="332"/>
      <c r="P28" s="18"/>
      <c r="Q28" s="18"/>
    </row>
    <row r="29" spans="1:255" ht="12.75" customHeight="1">
      <c r="A29" s="120">
        <v>5</v>
      </c>
      <c r="B29" s="120">
        <v>7.6</v>
      </c>
      <c r="C29" s="336">
        <v>28</v>
      </c>
      <c r="D29" s="131"/>
      <c r="E29" s="311" t="s">
        <v>684</v>
      </c>
      <c r="F29" s="298">
        <v>250000</v>
      </c>
      <c r="G29" s="325">
        <f>F29*2</f>
        <v>500000</v>
      </c>
      <c r="H29" s="325">
        <f>F29*3</f>
        <v>750000</v>
      </c>
      <c r="I29" s="107"/>
      <c r="O29" s="332"/>
      <c r="P29" s="18"/>
      <c r="Q29" s="18"/>
    </row>
    <row r="30" spans="1:255" ht="12.75" customHeight="1">
      <c r="A30" s="132">
        <v>7.5</v>
      </c>
      <c r="B30" s="120">
        <v>11</v>
      </c>
      <c r="C30" s="336">
        <v>40</v>
      </c>
      <c r="D30" s="131"/>
      <c r="I30" s="107"/>
      <c r="O30" s="332"/>
      <c r="P30" s="18"/>
      <c r="Q30" s="18"/>
    </row>
    <row r="31" spans="1:255" ht="12.75" customHeight="1">
      <c r="A31" s="120">
        <v>10</v>
      </c>
      <c r="B31" s="120">
        <v>14</v>
      </c>
      <c r="C31" s="336">
        <v>50</v>
      </c>
      <c r="D31" s="131"/>
      <c r="E31" s="329">
        <v>0.9</v>
      </c>
      <c r="F31" s="329">
        <v>0.95</v>
      </c>
      <c r="G31" s="333" t="s">
        <v>380</v>
      </c>
      <c r="H31" s="329">
        <v>1.05</v>
      </c>
      <c r="I31" s="329">
        <v>1.1000000000000001</v>
      </c>
      <c r="O31" s="332"/>
      <c r="P31" s="18"/>
      <c r="Q31" s="18"/>
    </row>
    <row r="32" spans="1:255" ht="12.75" customHeight="1">
      <c r="A32" s="120">
        <v>15</v>
      </c>
      <c r="B32" s="120">
        <v>21</v>
      </c>
      <c r="C32" s="336"/>
      <c r="D32" s="131"/>
      <c r="E32" s="334">
        <f t="shared" ref="E32:F37" si="1">$G32*E$31</f>
        <v>99</v>
      </c>
      <c r="F32" s="334">
        <f t="shared" si="1"/>
        <v>104.5</v>
      </c>
      <c r="G32" s="335">
        <v>110</v>
      </c>
      <c r="H32" s="334">
        <f t="shared" ref="H32:I37" si="2">$G32*H$31</f>
        <v>115.5</v>
      </c>
      <c r="I32" s="334">
        <f t="shared" si="2"/>
        <v>121.00000000000001</v>
      </c>
      <c r="O32" s="332"/>
      <c r="P32" s="18"/>
      <c r="Q32" s="18"/>
    </row>
    <row r="33" spans="1:17" ht="12.75" customHeight="1">
      <c r="A33" s="120">
        <v>20</v>
      </c>
      <c r="B33" s="120">
        <v>27</v>
      </c>
      <c r="C33" s="336"/>
      <c r="D33" s="131"/>
      <c r="E33" s="334">
        <f t="shared" si="1"/>
        <v>108</v>
      </c>
      <c r="F33" s="334">
        <f t="shared" si="1"/>
        <v>114</v>
      </c>
      <c r="G33" s="335">
        <v>120</v>
      </c>
      <c r="H33" s="334">
        <f t="shared" si="2"/>
        <v>126</v>
      </c>
      <c r="I33" s="334">
        <f t="shared" si="2"/>
        <v>132</v>
      </c>
      <c r="J33" s="107"/>
      <c r="K33" s="107"/>
      <c r="L33" s="108"/>
      <c r="M33" s="18"/>
      <c r="N33" s="322"/>
      <c r="O33" s="320"/>
      <c r="P33" s="18"/>
      <c r="Q33" s="18"/>
    </row>
    <row r="34" spans="1:17" ht="12.75" customHeight="1">
      <c r="A34" s="120">
        <v>25</v>
      </c>
      <c r="B34" s="120">
        <v>34</v>
      </c>
      <c r="C34" s="336"/>
      <c r="D34" s="131"/>
      <c r="E34" s="334">
        <f t="shared" si="1"/>
        <v>207</v>
      </c>
      <c r="F34" s="334">
        <f t="shared" si="1"/>
        <v>218.5</v>
      </c>
      <c r="G34" s="335">
        <v>230</v>
      </c>
      <c r="H34" s="334">
        <f t="shared" si="2"/>
        <v>241.5</v>
      </c>
      <c r="I34" s="334">
        <f t="shared" si="2"/>
        <v>253.00000000000003</v>
      </c>
      <c r="J34" s="107"/>
      <c r="K34" s="107"/>
      <c r="L34" s="108"/>
      <c r="M34" s="18"/>
      <c r="N34" s="322"/>
      <c r="O34" s="320"/>
      <c r="P34" s="18"/>
      <c r="Q34" s="18"/>
    </row>
    <row r="35" spans="1:17" ht="12.75" customHeight="1">
      <c r="A35" s="120">
        <v>30</v>
      </c>
      <c r="B35" s="120">
        <v>40</v>
      </c>
      <c r="C35" s="336"/>
      <c r="D35" s="131"/>
      <c r="E35" s="334">
        <f t="shared" si="1"/>
        <v>216</v>
      </c>
      <c r="F35" s="334">
        <f t="shared" si="1"/>
        <v>228</v>
      </c>
      <c r="G35" s="335">
        <v>240</v>
      </c>
      <c r="H35" s="334">
        <f t="shared" si="2"/>
        <v>252</v>
      </c>
      <c r="I35" s="334">
        <f t="shared" si="2"/>
        <v>264</v>
      </c>
      <c r="J35" s="107"/>
      <c r="K35" s="107"/>
      <c r="L35" s="108"/>
      <c r="M35" s="18"/>
      <c r="N35" s="322"/>
      <c r="O35" s="320"/>
      <c r="P35" s="18"/>
      <c r="Q35" s="18"/>
    </row>
    <row r="36" spans="1:17" ht="12.75" customHeight="1">
      <c r="A36" s="120">
        <v>40</v>
      </c>
      <c r="B36" s="120">
        <v>52</v>
      </c>
      <c r="C36" s="336"/>
      <c r="D36" s="131"/>
      <c r="E36" s="334">
        <f t="shared" si="1"/>
        <v>414</v>
      </c>
      <c r="F36" s="334">
        <f t="shared" si="1"/>
        <v>437</v>
      </c>
      <c r="G36" s="335">
        <v>460</v>
      </c>
      <c r="H36" s="334">
        <f t="shared" si="2"/>
        <v>483</v>
      </c>
      <c r="I36" s="334">
        <f t="shared" si="2"/>
        <v>506.00000000000006</v>
      </c>
      <c r="K36" s="321"/>
      <c r="L36" s="108"/>
      <c r="M36" s="18"/>
      <c r="N36" s="322"/>
      <c r="O36" s="320"/>
      <c r="P36" s="18"/>
      <c r="Q36" s="18"/>
    </row>
    <row r="37" spans="1:17" ht="12.75" customHeight="1">
      <c r="A37" s="120">
        <v>50</v>
      </c>
      <c r="B37" s="120">
        <v>65</v>
      </c>
      <c r="C37" s="336"/>
      <c r="D37" s="131"/>
      <c r="E37" s="334">
        <f t="shared" si="1"/>
        <v>432</v>
      </c>
      <c r="F37" s="334">
        <f t="shared" si="1"/>
        <v>456</v>
      </c>
      <c r="G37" s="335">
        <v>480</v>
      </c>
      <c r="H37" s="334">
        <f t="shared" si="2"/>
        <v>504</v>
      </c>
      <c r="I37" s="334">
        <f t="shared" si="2"/>
        <v>528</v>
      </c>
      <c r="K37" s="321"/>
      <c r="L37" s="108"/>
      <c r="M37" s="18"/>
      <c r="N37" s="322"/>
      <c r="O37" s="320"/>
      <c r="P37" s="18"/>
      <c r="Q37" s="18"/>
    </row>
    <row r="38" spans="1:17" ht="12.75" customHeight="1">
      <c r="A38" s="122"/>
      <c r="B38" s="122"/>
      <c r="C38" s="122"/>
      <c r="D38" s="107"/>
      <c r="E38" s="107"/>
      <c r="F38" s="107"/>
      <c r="K38" s="321"/>
      <c r="L38" s="108"/>
      <c r="M38" s="18"/>
      <c r="N38" s="322"/>
      <c r="O38" s="320"/>
      <c r="P38" s="18"/>
      <c r="Q38" s="18"/>
    </row>
    <row r="39" spans="1:17" ht="15.75" customHeight="1">
      <c r="A39" s="379" t="s">
        <v>666</v>
      </c>
      <c r="B39" s="315"/>
      <c r="C39" s="316"/>
      <c r="D39" s="316"/>
      <c r="E39" s="107"/>
      <c r="F39" s="107"/>
      <c r="G39" s="107"/>
      <c r="H39" s="107"/>
      <c r="I39" s="107"/>
      <c r="J39" s="107"/>
      <c r="K39" s="107"/>
      <c r="L39" s="107"/>
    </row>
    <row r="40" spans="1:17" ht="15.75" customHeight="1">
      <c r="A40" s="380" t="s">
        <v>762</v>
      </c>
      <c r="B40" s="315"/>
      <c r="C40" s="316"/>
      <c r="D40" s="316"/>
      <c r="E40" s="107"/>
      <c r="F40" s="107"/>
      <c r="G40" s="107"/>
      <c r="H40" s="107"/>
      <c r="I40" s="107"/>
      <c r="J40" s="107"/>
      <c r="K40" s="107"/>
      <c r="L40" s="107"/>
    </row>
    <row r="41" spans="1:17" ht="15.75" customHeight="1">
      <c r="A41" s="136" t="s">
        <v>763</v>
      </c>
      <c r="B41" s="315"/>
      <c r="C41" s="316"/>
      <c r="D41" s="316"/>
      <c r="E41" s="107"/>
      <c r="F41" s="107"/>
      <c r="G41" s="107"/>
      <c r="H41" s="107"/>
      <c r="I41" s="107"/>
      <c r="J41" s="107"/>
      <c r="K41" s="107"/>
      <c r="L41" s="107"/>
    </row>
    <row r="42" spans="1:17" ht="15.75" customHeight="1">
      <c r="A42" s="379" t="s">
        <v>766</v>
      </c>
      <c r="B42" s="184"/>
      <c r="C42" s="184"/>
      <c r="D42" s="184"/>
      <c r="E42" s="136"/>
      <c r="F42" s="136"/>
      <c r="G42" s="136"/>
      <c r="H42" s="136"/>
      <c r="I42" s="136"/>
      <c r="J42" s="136"/>
      <c r="K42" s="136"/>
      <c r="L42" s="107"/>
    </row>
    <row r="43" spans="1:17" ht="15.75" customHeight="1">
      <c r="A43" s="379" t="s">
        <v>3</v>
      </c>
      <c r="B43" s="184"/>
      <c r="C43" s="184"/>
      <c r="D43" s="184"/>
      <c r="E43" s="136"/>
      <c r="F43" s="136"/>
      <c r="G43" s="136"/>
      <c r="H43" s="136"/>
      <c r="I43" s="136"/>
      <c r="J43" s="136"/>
      <c r="K43" s="136"/>
      <c r="L43" s="107"/>
    </row>
    <row r="44" spans="1:17" ht="15.75" hidden="1" customHeight="1">
      <c r="A44" s="250">
        <v>1.732</v>
      </c>
      <c r="B44" s="250"/>
      <c r="C44" s="250"/>
      <c r="D44" s="250"/>
      <c r="E44" s="21"/>
      <c r="F44" s="21"/>
      <c r="G44" s="21"/>
      <c r="H44" s="21"/>
      <c r="I44" s="21"/>
      <c r="J44" s="21"/>
      <c r="K44" s="21"/>
      <c r="L44" s="25"/>
    </row>
    <row r="45" spans="1:17" ht="15.75" hidden="1" customHeight="1">
      <c r="A45" s="250">
        <v>2</v>
      </c>
      <c r="B45" s="250"/>
      <c r="C45" s="250"/>
      <c r="D45" s="250"/>
      <c r="E45" s="21"/>
      <c r="F45" s="21"/>
      <c r="G45" s="21"/>
      <c r="H45" s="21"/>
      <c r="I45" s="21"/>
      <c r="J45" s="21"/>
      <c r="K45" s="21"/>
      <c r="L45" s="25"/>
    </row>
    <row r="46" spans="1:17" ht="15.75" hidden="1" customHeight="1">
      <c r="A46" s="21"/>
      <c r="B46" s="21"/>
      <c r="C46" s="21"/>
      <c r="D46" s="21"/>
      <c r="E46" s="21"/>
      <c r="F46" s="21"/>
      <c r="G46" s="21"/>
      <c r="H46" s="21"/>
      <c r="I46" s="21"/>
      <c r="J46" s="21"/>
      <c r="K46" s="21"/>
      <c r="L46" s="25"/>
    </row>
    <row r="47" spans="1:17" ht="15.75" hidden="1" customHeight="1">
      <c r="A47" s="21">
        <v>12.9</v>
      </c>
      <c r="B47" s="21"/>
      <c r="C47" s="21"/>
      <c r="D47" s="21"/>
      <c r="E47" s="21"/>
      <c r="F47" s="21"/>
      <c r="G47" s="21"/>
      <c r="H47" s="21"/>
      <c r="I47" s="21"/>
      <c r="J47" s="21"/>
      <c r="K47" s="21"/>
      <c r="L47" s="25"/>
    </row>
    <row r="48" spans="1:17" ht="15.75" hidden="1" customHeight="1">
      <c r="A48" s="21">
        <v>21.2</v>
      </c>
      <c r="B48" s="21"/>
      <c r="C48" s="21"/>
      <c r="D48" s="21"/>
      <c r="E48" s="21"/>
      <c r="F48" s="21"/>
      <c r="G48" s="21"/>
      <c r="H48" s="21"/>
      <c r="I48" s="21"/>
      <c r="J48" s="21"/>
      <c r="K48" s="21"/>
      <c r="L48" s="25"/>
    </row>
    <row r="49" spans="1:240" ht="15.75" hidden="1" customHeight="1">
      <c r="A49" s="21"/>
      <c r="B49" s="21"/>
      <c r="C49" s="166"/>
      <c r="D49" s="21"/>
      <c r="E49" s="21"/>
      <c r="F49" s="21"/>
      <c r="G49" s="21"/>
      <c r="H49" s="21"/>
      <c r="I49" s="317"/>
      <c r="J49" s="317"/>
      <c r="K49" s="317"/>
      <c r="L49" s="25"/>
      <c r="M49" s="248"/>
    </row>
    <row r="50" spans="1:240" ht="15.75" hidden="1" customHeight="1">
      <c r="A50" s="359"/>
      <c r="B50" s="297" t="s">
        <v>5</v>
      </c>
      <c r="C50" s="21"/>
      <c r="D50" s="21"/>
      <c r="E50" s="317"/>
      <c r="F50" s="317"/>
      <c r="G50" s="317"/>
      <c r="H50" s="25"/>
      <c r="I50" s="248"/>
      <c r="J50" s="248"/>
      <c r="K50" s="247"/>
      <c r="N50" s="17"/>
      <c r="O50" s="17"/>
      <c r="IC50" s="18"/>
      <c r="ID50" s="18"/>
      <c r="IE50" s="18"/>
      <c r="IF50" s="18"/>
    </row>
    <row r="51" spans="1:240" ht="15.75" hidden="1" customHeight="1">
      <c r="A51" s="362" t="s">
        <v>712</v>
      </c>
      <c r="B51" s="298">
        <v>1620</v>
      </c>
      <c r="D51" s="21"/>
      <c r="E51" s="317"/>
      <c r="F51" s="317"/>
      <c r="G51" s="317"/>
      <c r="H51" s="25"/>
      <c r="I51" s="248"/>
      <c r="J51" s="248"/>
      <c r="K51" s="247"/>
      <c r="N51" s="17"/>
      <c r="O51" s="17"/>
      <c r="IC51" s="18"/>
      <c r="ID51" s="18"/>
      <c r="IE51" s="18"/>
      <c r="IF51" s="18"/>
    </row>
    <row r="52" spans="1:240" ht="15.75" hidden="1" customHeight="1">
      <c r="A52" s="362" t="s">
        <v>713</v>
      </c>
      <c r="B52" s="298">
        <v>2580</v>
      </c>
      <c r="D52" s="21"/>
      <c r="E52" s="317"/>
      <c r="F52" s="317"/>
      <c r="G52" s="317"/>
      <c r="H52" s="25"/>
      <c r="I52" s="248"/>
      <c r="J52" s="248"/>
      <c r="K52" s="247"/>
      <c r="N52" s="17"/>
      <c r="O52" s="17"/>
      <c r="IC52" s="18"/>
      <c r="ID52" s="18"/>
      <c r="IE52" s="18"/>
      <c r="IF52" s="18"/>
    </row>
    <row r="53" spans="1:240" ht="15.75" hidden="1" customHeight="1">
      <c r="A53" s="362" t="s">
        <v>714</v>
      </c>
      <c r="B53" s="298">
        <v>4110</v>
      </c>
      <c r="D53" s="21"/>
      <c r="E53" s="317"/>
      <c r="F53" s="317"/>
      <c r="G53" s="317"/>
      <c r="H53" s="25"/>
      <c r="I53" s="248"/>
      <c r="J53" s="248"/>
      <c r="K53" s="247"/>
      <c r="N53" s="17"/>
      <c r="O53" s="17"/>
      <c r="IC53" s="18"/>
      <c r="ID53" s="18"/>
      <c r="IE53" s="18"/>
      <c r="IF53" s="18"/>
    </row>
    <row r="54" spans="1:240" ht="15.75" hidden="1" customHeight="1">
      <c r="A54" s="362" t="s">
        <v>715</v>
      </c>
      <c r="B54" s="298">
        <v>6530</v>
      </c>
      <c r="D54" s="21"/>
      <c r="E54" s="317"/>
      <c r="F54" s="317"/>
      <c r="G54" s="317"/>
      <c r="H54" s="25"/>
      <c r="I54" s="248"/>
      <c r="J54" s="248"/>
      <c r="K54" s="247"/>
      <c r="N54" s="17"/>
      <c r="O54" s="17"/>
      <c r="IC54" s="18"/>
      <c r="ID54" s="18"/>
      <c r="IE54" s="18"/>
      <c r="IF54" s="18"/>
    </row>
    <row r="55" spans="1:240" ht="15.75" hidden="1" customHeight="1">
      <c r="A55" s="362" t="s">
        <v>716</v>
      </c>
      <c r="B55" s="298">
        <v>10380</v>
      </c>
      <c r="D55" s="21"/>
      <c r="E55" s="317"/>
      <c r="F55" s="317"/>
      <c r="G55" s="317"/>
      <c r="H55" s="25"/>
      <c r="I55" s="248"/>
      <c r="J55" s="248"/>
      <c r="K55" s="247"/>
      <c r="N55" s="17"/>
      <c r="O55" s="17"/>
      <c r="IC55" s="18"/>
      <c r="ID55" s="18"/>
      <c r="IE55" s="18"/>
      <c r="IF55" s="18"/>
    </row>
    <row r="56" spans="1:240" ht="15.75" hidden="1" customHeight="1">
      <c r="A56" s="362" t="s">
        <v>717</v>
      </c>
      <c r="B56" s="298">
        <v>16510</v>
      </c>
      <c r="D56" s="21"/>
      <c r="E56" s="317"/>
      <c r="F56" s="317"/>
      <c r="G56" s="317"/>
      <c r="H56" s="25"/>
      <c r="I56" s="248"/>
      <c r="J56" s="248"/>
      <c r="K56" s="247"/>
      <c r="N56" s="17"/>
      <c r="O56" s="17"/>
      <c r="IC56" s="18"/>
      <c r="ID56" s="18"/>
      <c r="IE56" s="18"/>
      <c r="IF56" s="18"/>
    </row>
    <row r="57" spans="1:240" ht="15.75" hidden="1" customHeight="1">
      <c r="A57" s="362" t="s">
        <v>718</v>
      </c>
      <c r="B57" s="298">
        <v>26240</v>
      </c>
      <c r="D57" s="21"/>
      <c r="E57" s="317"/>
      <c r="F57" s="317"/>
      <c r="G57" s="317"/>
      <c r="H57" s="25"/>
      <c r="I57" s="248"/>
      <c r="J57" s="248"/>
      <c r="K57" s="247"/>
      <c r="N57" s="17"/>
      <c r="O57" s="17"/>
      <c r="IC57" s="18"/>
      <c r="ID57" s="18"/>
      <c r="IE57" s="18"/>
      <c r="IF57" s="18"/>
    </row>
    <row r="58" spans="1:240" ht="15.75" hidden="1" customHeight="1">
      <c r="A58" s="362" t="s">
        <v>719</v>
      </c>
      <c r="B58" s="298">
        <v>41740</v>
      </c>
      <c r="D58" s="21"/>
      <c r="E58" s="317"/>
      <c r="F58" s="317"/>
      <c r="G58" s="317"/>
      <c r="H58" s="25"/>
      <c r="I58" s="248"/>
      <c r="J58" s="248"/>
      <c r="K58" s="247"/>
      <c r="N58" s="17"/>
      <c r="O58" s="17"/>
      <c r="IC58" s="18"/>
      <c r="ID58" s="18"/>
      <c r="IE58" s="18"/>
      <c r="IF58" s="18"/>
    </row>
    <row r="59" spans="1:240" ht="15.75" hidden="1" customHeight="1">
      <c r="A59" s="362" t="s">
        <v>720</v>
      </c>
      <c r="B59" s="298">
        <v>52620</v>
      </c>
      <c r="D59" s="21"/>
      <c r="E59" s="317"/>
      <c r="F59" s="317"/>
      <c r="G59" s="317"/>
      <c r="H59" s="25"/>
      <c r="I59" s="248"/>
      <c r="J59" s="248"/>
      <c r="K59" s="247"/>
      <c r="N59" s="17"/>
      <c r="O59" s="17"/>
      <c r="IC59" s="18"/>
      <c r="ID59" s="18"/>
      <c r="IE59" s="18"/>
      <c r="IF59" s="18"/>
    </row>
    <row r="60" spans="1:240" ht="15.75" hidden="1" customHeight="1">
      <c r="A60" s="362" t="s">
        <v>721</v>
      </c>
      <c r="B60" s="298">
        <v>66360</v>
      </c>
      <c r="D60" s="21"/>
      <c r="E60" s="317"/>
      <c r="F60" s="317"/>
      <c r="G60" s="317"/>
      <c r="H60" s="25"/>
      <c r="I60" s="248"/>
      <c r="J60" s="248"/>
      <c r="K60" s="247"/>
      <c r="N60" s="17"/>
      <c r="O60" s="17"/>
      <c r="IC60" s="18"/>
      <c r="ID60" s="18"/>
      <c r="IE60" s="18"/>
      <c r="IF60" s="18"/>
    </row>
    <row r="61" spans="1:240" ht="15.75" hidden="1" customHeight="1">
      <c r="A61" s="362" t="s">
        <v>722</v>
      </c>
      <c r="B61" s="298">
        <v>83690</v>
      </c>
      <c r="C61" s="18"/>
      <c r="D61" s="21"/>
      <c r="E61" s="317"/>
      <c r="F61" s="317"/>
      <c r="G61" s="317"/>
      <c r="H61" s="25"/>
      <c r="I61" s="248"/>
      <c r="J61" s="248"/>
      <c r="K61" s="247"/>
      <c r="N61" s="17"/>
      <c r="O61" s="17"/>
      <c r="IC61" s="18"/>
      <c r="ID61" s="18"/>
      <c r="IE61" s="18"/>
      <c r="IF61" s="18"/>
    </row>
    <row r="62" spans="1:240" ht="15.75" hidden="1" customHeight="1">
      <c r="A62" s="362" t="s">
        <v>723</v>
      </c>
      <c r="B62" s="298">
        <v>105600</v>
      </c>
      <c r="C62" s="18"/>
      <c r="D62" s="317"/>
      <c r="E62" s="317"/>
      <c r="F62" s="317"/>
      <c r="G62" s="317"/>
      <c r="H62" s="25"/>
      <c r="I62" s="248"/>
      <c r="J62" s="248"/>
      <c r="K62" s="247"/>
      <c r="N62" s="17"/>
      <c r="O62" s="17"/>
      <c r="IC62" s="18"/>
      <c r="ID62" s="18"/>
      <c r="IE62" s="18"/>
      <c r="IF62" s="18"/>
    </row>
    <row r="63" spans="1:240" ht="15.75" hidden="1" customHeight="1">
      <c r="A63" s="362" t="s">
        <v>724</v>
      </c>
      <c r="B63" s="298">
        <v>133100</v>
      </c>
      <c r="C63" s="18"/>
      <c r="D63" s="331"/>
      <c r="E63" s="331"/>
      <c r="F63" s="321"/>
      <c r="G63" s="321"/>
      <c r="H63" s="25"/>
      <c r="I63" s="248"/>
      <c r="J63" s="248"/>
      <c r="K63" s="247"/>
      <c r="N63" s="17"/>
      <c r="O63" s="17"/>
      <c r="IC63" s="18"/>
      <c r="ID63" s="18"/>
      <c r="IE63" s="18"/>
      <c r="IF63" s="18"/>
    </row>
    <row r="64" spans="1:240" ht="15.75" hidden="1" customHeight="1">
      <c r="A64" s="362" t="s">
        <v>725</v>
      </c>
      <c r="B64" s="298">
        <v>167800</v>
      </c>
      <c r="C64" s="18"/>
      <c r="D64" s="358"/>
      <c r="E64" s="357"/>
      <c r="F64" s="321"/>
      <c r="G64" s="321"/>
      <c r="H64" s="25"/>
      <c r="I64" s="248"/>
      <c r="J64" s="248"/>
      <c r="K64" s="247"/>
      <c r="N64" s="17"/>
      <c r="O64" s="17"/>
      <c r="IC64" s="18"/>
      <c r="ID64" s="18"/>
      <c r="IE64" s="18"/>
      <c r="IF64" s="18"/>
    </row>
    <row r="65" spans="1:240" ht="15.75" hidden="1" customHeight="1">
      <c r="A65" s="362" t="s">
        <v>726</v>
      </c>
      <c r="B65" s="298">
        <v>211200</v>
      </c>
      <c r="C65" s="18"/>
      <c r="D65" s="358"/>
      <c r="E65" s="357"/>
      <c r="F65" s="321"/>
      <c r="G65" s="321"/>
      <c r="H65" s="25"/>
      <c r="I65" s="248"/>
      <c r="J65" s="248"/>
      <c r="K65" s="247"/>
      <c r="N65" s="17"/>
      <c r="O65" s="17"/>
      <c r="IC65" s="18"/>
      <c r="ID65" s="18"/>
      <c r="IE65" s="18"/>
      <c r="IF65" s="18"/>
    </row>
    <row r="66" spans="1:240" ht="15.75" hidden="1" customHeight="1">
      <c r="A66" s="362" t="s">
        <v>727</v>
      </c>
      <c r="B66" s="298">
        <v>211600</v>
      </c>
      <c r="C66" s="18"/>
      <c r="D66" s="357"/>
      <c r="E66" s="357"/>
      <c r="F66" s="321"/>
      <c r="G66" s="321"/>
      <c r="J66" s="248"/>
      <c r="K66" s="247"/>
      <c r="N66" s="17"/>
      <c r="O66" s="17"/>
      <c r="IC66" s="18"/>
      <c r="ID66" s="18"/>
      <c r="IE66" s="18"/>
      <c r="IF66" s="18"/>
    </row>
    <row r="67" spans="1:240" ht="15.75" hidden="1" customHeight="1">
      <c r="A67" s="362" t="s">
        <v>728</v>
      </c>
      <c r="B67" s="298">
        <v>250000</v>
      </c>
      <c r="C67" s="18"/>
      <c r="D67" s="357"/>
      <c r="E67" s="357"/>
      <c r="F67" s="321"/>
      <c r="G67" s="321"/>
      <c r="J67" s="248"/>
      <c r="K67" s="247"/>
      <c r="N67" s="17"/>
      <c r="O67" s="17"/>
      <c r="IC67" s="18"/>
      <c r="ID67" s="18"/>
      <c r="IE67" s="18"/>
      <c r="IF67" s="18"/>
    </row>
    <row r="68" spans="1:240" ht="15.75" hidden="1" customHeight="1">
      <c r="A68" s="362" t="s">
        <v>729</v>
      </c>
      <c r="B68" s="298">
        <v>300000</v>
      </c>
      <c r="C68" s="18"/>
      <c r="D68" s="361"/>
      <c r="E68" s="357"/>
      <c r="F68" s="321"/>
      <c r="G68" s="321"/>
      <c r="J68" s="248"/>
      <c r="K68" s="247"/>
      <c r="N68" s="17"/>
      <c r="O68" s="17"/>
      <c r="IC68" s="18"/>
      <c r="ID68" s="18"/>
      <c r="IE68" s="18"/>
      <c r="IF68" s="18"/>
    </row>
    <row r="69" spans="1:240" ht="15.75" hidden="1" customHeight="1">
      <c r="A69" s="362" t="s">
        <v>730</v>
      </c>
      <c r="B69" s="360">
        <v>316800</v>
      </c>
      <c r="C69" s="18"/>
      <c r="J69" s="248"/>
      <c r="K69" s="247"/>
      <c r="N69" s="17"/>
      <c r="O69" s="17"/>
      <c r="IC69" s="18"/>
      <c r="ID69" s="18"/>
      <c r="IE69" s="18"/>
      <c r="IF69" s="18"/>
    </row>
    <row r="70" spans="1:240" ht="15.75" hidden="1" customHeight="1">
      <c r="A70" s="362" t="s">
        <v>731</v>
      </c>
      <c r="B70" s="298">
        <v>350000</v>
      </c>
      <c r="C70" s="18"/>
      <c r="J70" s="248"/>
      <c r="K70" s="247"/>
      <c r="N70" s="17"/>
      <c r="O70" s="17"/>
      <c r="IC70" s="18"/>
      <c r="ID70" s="18"/>
      <c r="IE70" s="18"/>
      <c r="IF70" s="18"/>
    </row>
    <row r="71" spans="1:240" ht="15.75" hidden="1" customHeight="1">
      <c r="A71" s="362" t="s">
        <v>732</v>
      </c>
      <c r="B71" s="298">
        <v>400000</v>
      </c>
      <c r="C71" s="18"/>
      <c r="J71" s="248"/>
      <c r="K71" s="247"/>
      <c r="N71" s="17"/>
      <c r="O71" s="17"/>
      <c r="IC71" s="18"/>
      <c r="ID71" s="18"/>
      <c r="IE71" s="18"/>
      <c r="IF71" s="18"/>
    </row>
    <row r="72" spans="1:240" ht="15.75" hidden="1" customHeight="1">
      <c r="A72" s="362" t="s">
        <v>733</v>
      </c>
      <c r="B72" s="298">
        <v>423200</v>
      </c>
      <c r="C72" s="18"/>
      <c r="J72" s="248"/>
      <c r="K72" s="247"/>
      <c r="N72" s="17"/>
      <c r="O72" s="17"/>
      <c r="IC72" s="18"/>
      <c r="ID72" s="18"/>
      <c r="IE72" s="18"/>
      <c r="IF72" s="18"/>
    </row>
    <row r="73" spans="1:240" ht="15.75" hidden="1" customHeight="1">
      <c r="A73" s="362" t="s">
        <v>734</v>
      </c>
      <c r="B73" s="298">
        <v>500000</v>
      </c>
      <c r="C73" s="18"/>
      <c r="J73" s="248"/>
      <c r="K73" s="247"/>
      <c r="N73" s="17"/>
      <c r="O73" s="17"/>
      <c r="IC73" s="18"/>
      <c r="ID73" s="18"/>
      <c r="IE73" s="18"/>
      <c r="IF73" s="18"/>
    </row>
    <row r="74" spans="1:240" ht="15.75" hidden="1" customHeight="1">
      <c r="A74" s="362" t="s">
        <v>735</v>
      </c>
      <c r="B74" s="298">
        <v>500000</v>
      </c>
      <c r="C74" s="18"/>
      <c r="J74" s="248"/>
      <c r="K74" s="247"/>
      <c r="N74" s="17"/>
      <c r="O74" s="17"/>
      <c r="IC74" s="18"/>
      <c r="ID74" s="18"/>
      <c r="IE74" s="18"/>
      <c r="IF74" s="18"/>
    </row>
    <row r="75" spans="1:240" ht="15.75" hidden="1" customHeight="1">
      <c r="A75" s="362" t="s">
        <v>736</v>
      </c>
      <c r="B75" s="298">
        <v>600000</v>
      </c>
      <c r="C75" s="18"/>
      <c r="J75" s="248"/>
      <c r="K75" s="247"/>
      <c r="N75" s="17"/>
      <c r="O75" s="17"/>
      <c r="IC75" s="18"/>
      <c r="ID75" s="18"/>
      <c r="IE75" s="18"/>
      <c r="IF75" s="18"/>
    </row>
    <row r="76" spans="1:240" ht="15.75" hidden="1" customHeight="1">
      <c r="A76" s="362" t="s">
        <v>737</v>
      </c>
      <c r="B76" s="298">
        <v>634800</v>
      </c>
      <c r="C76" s="18"/>
      <c r="J76" s="248"/>
      <c r="K76" s="247"/>
      <c r="N76" s="17"/>
      <c r="O76" s="17"/>
      <c r="IC76" s="18"/>
      <c r="ID76" s="18"/>
      <c r="IE76" s="18"/>
      <c r="IF76" s="18"/>
    </row>
    <row r="77" spans="1:240" ht="15.75" hidden="1" customHeight="1">
      <c r="A77" s="362" t="s">
        <v>738</v>
      </c>
      <c r="B77" s="298">
        <v>700000</v>
      </c>
      <c r="C77" s="18"/>
      <c r="J77" s="248"/>
      <c r="K77" s="247"/>
      <c r="N77" s="17"/>
      <c r="O77" s="17"/>
      <c r="IC77" s="18"/>
      <c r="ID77" s="18"/>
      <c r="IE77" s="18"/>
      <c r="IF77" s="18"/>
    </row>
    <row r="78" spans="1:240" ht="15.75" hidden="1" customHeight="1">
      <c r="A78" s="362" t="s">
        <v>739</v>
      </c>
      <c r="B78" s="298">
        <v>750000</v>
      </c>
      <c r="C78" s="18"/>
      <c r="J78" s="248"/>
      <c r="K78" s="247"/>
      <c r="N78" s="17"/>
      <c r="O78" s="17"/>
      <c r="IC78" s="18"/>
      <c r="ID78" s="18"/>
      <c r="IE78" s="18"/>
      <c r="IF78" s="18"/>
    </row>
    <row r="79" spans="1:240" ht="15.75" hidden="1" customHeight="1">
      <c r="A79" s="362" t="s">
        <v>740</v>
      </c>
      <c r="B79" s="298">
        <v>750000</v>
      </c>
      <c r="C79" s="18"/>
      <c r="J79" s="248"/>
      <c r="K79" s="247"/>
      <c r="N79" s="17"/>
      <c r="O79" s="17"/>
      <c r="IC79" s="18"/>
      <c r="ID79" s="18"/>
      <c r="IE79" s="18"/>
      <c r="IF79" s="18"/>
    </row>
    <row r="80" spans="1:240" ht="15.75" hidden="1" customHeight="1">
      <c r="A80" s="362" t="s">
        <v>741</v>
      </c>
      <c r="B80" s="298">
        <v>800000</v>
      </c>
      <c r="C80" s="18"/>
      <c r="J80" s="248"/>
      <c r="K80" s="247"/>
      <c r="N80" s="17"/>
      <c r="O80" s="17"/>
      <c r="IC80" s="18"/>
      <c r="ID80" s="18"/>
      <c r="IE80" s="18"/>
      <c r="IF80" s="18"/>
    </row>
    <row r="81" spans="1:240" ht="15.75" hidden="1" customHeight="1">
      <c r="A81" s="362" t="s">
        <v>742</v>
      </c>
      <c r="B81" s="298">
        <v>900000</v>
      </c>
      <c r="C81" s="18"/>
      <c r="J81" s="248"/>
      <c r="K81" s="247"/>
      <c r="N81" s="17"/>
      <c r="O81" s="17"/>
      <c r="IC81" s="18"/>
      <c r="ID81" s="18"/>
      <c r="IE81" s="18"/>
      <c r="IF81" s="18"/>
    </row>
    <row r="82" spans="1:240" ht="15.75" hidden="1" customHeight="1">
      <c r="A82" s="362" t="s">
        <v>743</v>
      </c>
      <c r="B82" s="298">
        <v>1000000</v>
      </c>
      <c r="C82" s="18"/>
      <c r="J82" s="248"/>
      <c r="K82" s="247"/>
      <c r="N82" s="17"/>
      <c r="O82" s="17"/>
      <c r="IC82" s="18"/>
      <c r="ID82" s="18"/>
      <c r="IE82" s="18"/>
      <c r="IF82" s="18"/>
    </row>
    <row r="83" spans="1:240" ht="15.75" hidden="1" customHeight="1">
      <c r="A83" s="362" t="s">
        <v>744</v>
      </c>
      <c r="B83" s="298">
        <v>1250000</v>
      </c>
      <c r="C83" s="18"/>
      <c r="J83" s="248"/>
      <c r="K83" s="247"/>
      <c r="N83" s="17"/>
      <c r="O83" s="17"/>
      <c r="IC83" s="18"/>
      <c r="ID83" s="18"/>
      <c r="IE83" s="18"/>
      <c r="IF83" s="18"/>
    </row>
    <row r="84" spans="1:240" ht="15.75" hidden="1" customHeight="1">
      <c r="A84" s="362" t="s">
        <v>745</v>
      </c>
      <c r="B84" s="298">
        <v>1500000</v>
      </c>
      <c r="C84" s="18"/>
      <c r="J84" s="248"/>
      <c r="K84" s="247"/>
      <c r="N84" s="17"/>
      <c r="O84" s="17"/>
      <c r="IC84" s="18"/>
      <c r="ID84" s="18"/>
      <c r="IE84" s="18"/>
      <c r="IF84" s="18"/>
    </row>
    <row r="85" spans="1:240" ht="15.75" hidden="1" customHeight="1">
      <c r="A85" s="362" t="s">
        <v>746</v>
      </c>
      <c r="B85" s="298">
        <v>1750000</v>
      </c>
      <c r="C85" s="18"/>
      <c r="J85" s="248"/>
      <c r="K85" s="247"/>
      <c r="N85" s="17"/>
      <c r="O85" s="17"/>
      <c r="IC85" s="18"/>
      <c r="ID85" s="18"/>
      <c r="IE85" s="18"/>
      <c r="IF85" s="18"/>
    </row>
    <row r="86" spans="1:240" ht="15.75" hidden="1" customHeight="1">
      <c r="A86" s="362" t="s">
        <v>747</v>
      </c>
      <c r="B86" s="298">
        <v>2000000</v>
      </c>
      <c r="C86" s="18"/>
      <c r="J86" s="248"/>
      <c r="K86" s="247"/>
      <c r="N86" s="17"/>
      <c r="O86" s="17"/>
      <c r="IC86" s="18"/>
      <c r="ID86" s="18"/>
      <c r="IE86" s="18"/>
      <c r="IF86" s="18"/>
    </row>
  </sheetData>
  <sheetProtection algorithmName="SHA-512" hashValue="fIE/+fVTVof7i0fiiGMbEtxSa+ddftKnQUBFBqrxA4XxYrdeY+QsnKcyvRR3AJEUYxLJ1GbllfGWrzjgPBPn+g==" saltValue="owHXUOnVXchLGhFy2kQ05A==" spinCount="100000" sheet="1" objects="1" scenarios="1"/>
  <mergeCells count="18">
    <mergeCell ref="B25:B26"/>
    <mergeCell ref="C25:C26"/>
    <mergeCell ref="G2:G3"/>
    <mergeCell ref="G11:G12"/>
    <mergeCell ref="M2:M3"/>
    <mergeCell ref="C2:C3"/>
    <mergeCell ref="J2:J3"/>
    <mergeCell ref="J11:J12"/>
    <mergeCell ref="A10:O10"/>
    <mergeCell ref="A1:O1"/>
    <mergeCell ref="N11:N12"/>
    <mergeCell ref="N2:N3"/>
    <mergeCell ref="C11:C12"/>
    <mergeCell ref="M11:M12"/>
    <mergeCell ref="K2:K3"/>
    <mergeCell ref="K11:K12"/>
    <mergeCell ref="L2:L3"/>
    <mergeCell ref="L11:L12"/>
  </mergeCells>
  <dataValidations count="3">
    <dataValidation type="list" allowBlank="1" showInputMessage="1" showErrorMessage="1" sqref="E13:E17 E4:E8" xr:uid="{00000000-0002-0000-1D00-000000000000}">
      <formula1>$A$47:$A$48</formula1>
    </dataValidation>
    <dataValidation type="list" allowBlank="1" showInputMessage="1" showErrorMessage="1" sqref="D4:D8" xr:uid="{00000000-0002-0000-1D00-000001000000}">
      <formula1>$A$44:$A$45</formula1>
    </dataValidation>
    <dataValidation type="list" allowBlank="1" showInputMessage="1" showErrorMessage="1" sqref="K4:K8 K13:K17" xr:uid="{00000000-0002-0000-1D00-000002000000}">
      <formula1>$A$51:$A$86</formula1>
    </dataValidation>
  </dataValidations>
  <pageMargins left="0.7" right="0.7" top="0.75" bottom="0.75" header="0.3" footer="0.3"/>
  <pageSetup scale="77"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55D7E-A613-4CC4-8A25-091EAF545176}">
  <sheetPr>
    <pageSetUpPr fitToPage="1"/>
  </sheetPr>
  <dimension ref="A1:N25"/>
  <sheetViews>
    <sheetView workbookViewId="0">
      <selection activeCell="P11" sqref="P11"/>
    </sheetView>
  </sheetViews>
  <sheetFormatPr defaultRowHeight="15"/>
  <cols>
    <col min="1" max="2" width="9.140625" style="1177"/>
    <col min="3" max="3" width="2.140625" style="1177" customWidth="1"/>
    <col min="4" max="5" width="9.140625" style="1177"/>
    <col min="6" max="6" width="2.140625" style="1177" customWidth="1"/>
    <col min="7" max="8" width="9.140625" style="1177"/>
    <col min="9" max="9" width="2.140625" style="1177" customWidth="1"/>
    <col min="10" max="11" width="9.140625" style="1177"/>
    <col min="12" max="12" width="2.140625" style="1177" customWidth="1"/>
    <col min="13" max="16384" width="9.140625" style="1177"/>
  </cols>
  <sheetData>
    <row r="1" spans="1:14">
      <c r="A1" s="1175">
        <v>18</v>
      </c>
      <c r="B1" s="1176">
        <v>1620</v>
      </c>
      <c r="D1" s="1175" t="s">
        <v>1261</v>
      </c>
      <c r="E1" s="1176">
        <v>423200</v>
      </c>
      <c r="G1" s="1175" t="s">
        <v>1262</v>
      </c>
      <c r="H1" s="1176">
        <v>1000000</v>
      </c>
      <c r="J1" s="1175" t="s">
        <v>1263</v>
      </c>
      <c r="K1" s="1176">
        <v>2000000</v>
      </c>
      <c r="M1" s="1175" t="s">
        <v>1264</v>
      </c>
      <c r="N1" s="1176">
        <v>4000000</v>
      </c>
    </row>
    <row r="2" spans="1:14">
      <c r="A2" s="1175">
        <v>16</v>
      </c>
      <c r="B2" s="1176">
        <v>2580</v>
      </c>
      <c r="D2" s="1178" t="s">
        <v>57</v>
      </c>
      <c r="E2" s="1179">
        <v>500000</v>
      </c>
      <c r="G2" s="1175" t="s">
        <v>1265</v>
      </c>
      <c r="H2" s="1176">
        <v>1006800</v>
      </c>
      <c r="J2" s="1175" t="s">
        <v>1266</v>
      </c>
      <c r="K2" s="1176">
        <v>2000000</v>
      </c>
      <c r="M2" s="1175" t="s">
        <v>1267</v>
      </c>
      <c r="N2" s="1176">
        <v>4000000</v>
      </c>
    </row>
    <row r="3" spans="1:14">
      <c r="A3" s="1178">
        <v>14</v>
      </c>
      <c r="B3" s="1179">
        <v>4110</v>
      </c>
      <c r="D3" s="1175" t="s">
        <v>1268</v>
      </c>
      <c r="E3" s="1176">
        <v>500000</v>
      </c>
      <c r="G3" s="1175" t="s">
        <v>1269</v>
      </c>
      <c r="H3" s="1176">
        <v>1050000</v>
      </c>
      <c r="J3" s="1175" t="s">
        <v>1270</v>
      </c>
      <c r="K3" s="1176">
        <v>2000000</v>
      </c>
      <c r="M3" s="1175" t="s">
        <v>1271</v>
      </c>
      <c r="N3" s="1176">
        <v>4000000</v>
      </c>
    </row>
    <row r="4" spans="1:14">
      <c r="A4" s="1178">
        <v>12</v>
      </c>
      <c r="B4" s="1179">
        <v>6530</v>
      </c>
      <c r="D4" s="1175" t="s">
        <v>1272</v>
      </c>
      <c r="E4" s="1176">
        <v>503400</v>
      </c>
      <c r="G4" s="1175" t="s">
        <v>1273</v>
      </c>
      <c r="H4" s="1176">
        <v>1058000</v>
      </c>
      <c r="J4" s="1175" t="s">
        <v>1274</v>
      </c>
      <c r="K4" s="1176">
        <v>2100000</v>
      </c>
      <c r="M4" s="1175" t="s">
        <v>1275</v>
      </c>
      <c r="N4" s="1176">
        <v>4200000</v>
      </c>
    </row>
    <row r="5" spans="1:14">
      <c r="A5" s="1178">
        <v>10</v>
      </c>
      <c r="B5" s="1179">
        <v>10380</v>
      </c>
      <c r="D5" s="1175" t="s">
        <v>1276</v>
      </c>
      <c r="E5" s="1176">
        <v>528000</v>
      </c>
      <c r="G5" s="1175" t="s">
        <v>1277</v>
      </c>
      <c r="H5" s="1176">
        <v>1200000</v>
      </c>
      <c r="J5" s="1175" t="s">
        <v>1278</v>
      </c>
      <c r="K5" s="1176">
        <v>2100000</v>
      </c>
      <c r="M5" s="1175" t="s">
        <v>1279</v>
      </c>
      <c r="N5" s="1176">
        <v>4500000</v>
      </c>
    </row>
    <row r="6" spans="1:14">
      <c r="A6" s="1178" t="s">
        <v>47</v>
      </c>
      <c r="B6" s="1179">
        <v>16510</v>
      </c>
      <c r="D6" s="1175" t="s">
        <v>1280</v>
      </c>
      <c r="E6" s="1176">
        <v>532400</v>
      </c>
      <c r="G6" s="1175" t="s">
        <v>1281</v>
      </c>
      <c r="H6" s="1176">
        <v>1200000</v>
      </c>
      <c r="J6" s="1175" t="s">
        <v>1282</v>
      </c>
      <c r="K6" s="1176">
        <v>2250000</v>
      </c>
      <c r="M6" s="1175" t="s">
        <v>1283</v>
      </c>
      <c r="N6" s="1176">
        <v>4500000</v>
      </c>
    </row>
    <row r="7" spans="1:14">
      <c r="A7" s="1178" t="s">
        <v>48</v>
      </c>
      <c r="B7" s="1179">
        <v>26240</v>
      </c>
      <c r="D7" s="1178" t="s">
        <v>58</v>
      </c>
      <c r="E7" s="1179">
        <v>600000</v>
      </c>
      <c r="G7" s="1175" t="s">
        <v>1284</v>
      </c>
      <c r="H7" s="1176">
        <v>1200000</v>
      </c>
      <c r="J7" s="1175" t="s">
        <v>1285</v>
      </c>
      <c r="K7" s="1176">
        <v>2400000</v>
      </c>
      <c r="M7" s="1175" t="s">
        <v>1286</v>
      </c>
      <c r="N7" s="1176">
        <v>4500000</v>
      </c>
    </row>
    <row r="8" spans="1:14">
      <c r="A8" s="1178" t="s">
        <v>49</v>
      </c>
      <c r="B8" s="1179">
        <v>41740</v>
      </c>
      <c r="D8" s="1175" t="s">
        <v>1287</v>
      </c>
      <c r="E8" s="1176">
        <v>600000</v>
      </c>
      <c r="G8" s="1175">
        <v>1250</v>
      </c>
      <c r="H8" s="1176">
        <v>1250000</v>
      </c>
      <c r="J8" s="1175" t="s">
        <v>1288</v>
      </c>
      <c r="K8" s="1176">
        <v>2400000</v>
      </c>
      <c r="M8" s="1175" t="s">
        <v>1289</v>
      </c>
      <c r="N8" s="1176">
        <v>4800000</v>
      </c>
    </row>
    <row r="9" spans="1:14">
      <c r="A9" s="1178" t="s">
        <v>50</v>
      </c>
      <c r="B9" s="1179">
        <v>52620</v>
      </c>
      <c r="D9" s="1175" t="s">
        <v>1290</v>
      </c>
      <c r="E9" s="1176">
        <v>633600</v>
      </c>
      <c r="G9" s="1175" t="s">
        <v>1291</v>
      </c>
      <c r="H9" s="1176">
        <v>1250000</v>
      </c>
      <c r="J9" s="1175" t="s">
        <v>1292</v>
      </c>
      <c r="K9" s="1176">
        <v>2400000</v>
      </c>
      <c r="M9" s="1175" t="s">
        <v>1293</v>
      </c>
      <c r="N9" s="1176">
        <v>5000000</v>
      </c>
    </row>
    <row r="10" spans="1:14">
      <c r="A10" s="1178" t="s">
        <v>51</v>
      </c>
      <c r="B10" s="1179">
        <v>66360</v>
      </c>
      <c r="D10" s="1175" t="s">
        <v>1294</v>
      </c>
      <c r="E10" s="1176">
        <v>634800</v>
      </c>
      <c r="G10" s="1175" t="s">
        <v>1295</v>
      </c>
      <c r="H10" s="1176">
        <v>1269600</v>
      </c>
      <c r="J10" s="1175" t="s">
        <v>1296</v>
      </c>
      <c r="K10" s="1176">
        <v>2500000</v>
      </c>
      <c r="M10" s="1175" t="s">
        <v>1297</v>
      </c>
      <c r="N10" s="1176">
        <v>5000000</v>
      </c>
    </row>
    <row r="11" spans="1:14">
      <c r="A11" s="1178" t="s">
        <v>52</v>
      </c>
      <c r="B11" s="1179">
        <v>83690</v>
      </c>
      <c r="D11" s="1175" t="s">
        <v>1298</v>
      </c>
      <c r="E11" s="1176">
        <v>665500</v>
      </c>
      <c r="G11" s="1175" t="s">
        <v>1299</v>
      </c>
      <c r="H11" s="1176">
        <v>1400000</v>
      </c>
      <c r="J11" s="1175" t="s">
        <v>1300</v>
      </c>
      <c r="K11" s="1176">
        <v>2500000</v>
      </c>
      <c r="M11" s="1175" t="s">
        <v>1301</v>
      </c>
      <c r="N11" s="1176">
        <v>5250000</v>
      </c>
    </row>
    <row r="12" spans="1:14">
      <c r="A12" s="1178" t="s">
        <v>18</v>
      </c>
      <c r="B12" s="1179">
        <v>105600</v>
      </c>
      <c r="D12" s="1175" t="s">
        <v>1302</v>
      </c>
      <c r="E12" s="1176">
        <v>671200</v>
      </c>
      <c r="G12" s="1175" t="s">
        <v>1303</v>
      </c>
      <c r="H12" s="1176">
        <v>1400000</v>
      </c>
      <c r="J12" s="1175" t="s">
        <v>1304</v>
      </c>
      <c r="K12" s="1176">
        <v>2700000</v>
      </c>
      <c r="M12" s="1175" t="s">
        <v>1305</v>
      </c>
      <c r="N12" s="1176">
        <v>5400000</v>
      </c>
    </row>
    <row r="13" spans="1:14">
      <c r="A13" s="1178" t="s">
        <v>20</v>
      </c>
      <c r="B13" s="1179">
        <v>133100</v>
      </c>
      <c r="D13" s="1178" t="s">
        <v>59</v>
      </c>
      <c r="E13" s="1179">
        <v>700000</v>
      </c>
      <c r="G13" s="1175">
        <v>1500</v>
      </c>
      <c r="H13" s="1176">
        <v>1500000</v>
      </c>
      <c r="J13" s="1175" t="s">
        <v>1306</v>
      </c>
      <c r="K13" s="1176">
        <v>2800000</v>
      </c>
      <c r="M13" s="1175" t="s">
        <v>1307</v>
      </c>
      <c r="N13" s="1176">
        <v>6000000</v>
      </c>
    </row>
    <row r="14" spans="1:14">
      <c r="A14" s="1178" t="s">
        <v>22</v>
      </c>
      <c r="B14" s="1179">
        <v>167800</v>
      </c>
      <c r="D14" s="1175" t="s">
        <v>1308</v>
      </c>
      <c r="E14" s="1176">
        <v>700000</v>
      </c>
      <c r="G14" s="1175" t="s">
        <v>1309</v>
      </c>
      <c r="H14" s="1176">
        <v>1500000</v>
      </c>
      <c r="J14" s="1175" t="s">
        <v>1310</v>
      </c>
      <c r="K14" s="1176">
        <v>3000000</v>
      </c>
      <c r="M14" s="1175" t="s">
        <v>1311</v>
      </c>
      <c r="N14" s="1176">
        <v>6000000</v>
      </c>
    </row>
    <row r="15" spans="1:14">
      <c r="A15" s="1175" t="s">
        <v>1312</v>
      </c>
      <c r="B15" s="1176">
        <v>211200</v>
      </c>
      <c r="D15" s="1178" t="s">
        <v>60</v>
      </c>
      <c r="E15" s="1179">
        <v>750000</v>
      </c>
      <c r="G15" s="1175" t="s">
        <v>1313</v>
      </c>
      <c r="H15" s="1176">
        <v>1500000</v>
      </c>
      <c r="J15" s="1175" t="s">
        <v>1314</v>
      </c>
      <c r="K15" s="1176">
        <v>3000000</v>
      </c>
      <c r="M15" s="1175" t="s">
        <v>1315</v>
      </c>
      <c r="N15" s="1176">
        <v>6000000</v>
      </c>
    </row>
    <row r="16" spans="1:14">
      <c r="A16" s="1178" t="s">
        <v>23</v>
      </c>
      <c r="B16" s="1179">
        <v>211600</v>
      </c>
      <c r="D16" s="1175" t="s">
        <v>1316</v>
      </c>
      <c r="E16" s="1176">
        <v>750000</v>
      </c>
      <c r="G16" s="1175" t="s">
        <v>1317</v>
      </c>
      <c r="H16" s="1176">
        <v>1500000</v>
      </c>
      <c r="J16" s="1175" t="s">
        <v>1318</v>
      </c>
      <c r="K16" s="1176">
        <v>3000000</v>
      </c>
      <c r="M16" s="1175" t="s">
        <v>1319</v>
      </c>
      <c r="N16" s="1176">
        <v>6250000</v>
      </c>
    </row>
    <row r="17" spans="1:14">
      <c r="A17" s="1178" t="s">
        <v>53</v>
      </c>
      <c r="B17" s="1179">
        <v>250000</v>
      </c>
      <c r="D17" s="1175" t="s">
        <v>1320</v>
      </c>
      <c r="E17" s="1176">
        <v>798600</v>
      </c>
      <c r="G17" s="1175" t="s">
        <v>1321</v>
      </c>
      <c r="H17" s="1176">
        <v>1500000</v>
      </c>
      <c r="J17" s="1175" t="s">
        <v>1322</v>
      </c>
      <c r="K17" s="1176">
        <v>3000000</v>
      </c>
      <c r="M17" s="1175" t="s">
        <v>1323</v>
      </c>
      <c r="N17" s="1176">
        <v>7000000</v>
      </c>
    </row>
    <row r="18" spans="1:14">
      <c r="A18" s="1175" t="s">
        <v>1324</v>
      </c>
      <c r="B18" s="1176">
        <v>266200</v>
      </c>
      <c r="D18" s="1175">
        <v>800</v>
      </c>
      <c r="E18" s="1176">
        <v>800000</v>
      </c>
      <c r="G18" s="1175" t="s">
        <v>1325</v>
      </c>
      <c r="H18" s="1176">
        <v>1600000</v>
      </c>
      <c r="J18" s="1175" t="s">
        <v>1326</v>
      </c>
      <c r="K18" s="1176">
        <v>3000000</v>
      </c>
      <c r="M18" s="1175" t="s">
        <v>1327</v>
      </c>
      <c r="N18" s="1176">
        <v>7500000</v>
      </c>
    </row>
    <row r="19" spans="1:14">
      <c r="A19" s="1178" t="s">
        <v>54</v>
      </c>
      <c r="B19" s="1179">
        <v>300000</v>
      </c>
      <c r="D19" s="1175" t="s">
        <v>1328</v>
      </c>
      <c r="E19" s="1176">
        <v>800000</v>
      </c>
      <c r="G19" s="1175" t="s">
        <v>1329</v>
      </c>
      <c r="H19" s="1176">
        <v>1600000</v>
      </c>
      <c r="J19" s="1175" t="s">
        <v>1330</v>
      </c>
      <c r="K19" s="1176">
        <v>3200000</v>
      </c>
      <c r="M19" s="1175" t="s">
        <v>1331</v>
      </c>
      <c r="N19" s="1176">
        <v>7500000</v>
      </c>
    </row>
    <row r="20" spans="1:14">
      <c r="A20" s="1175" t="s">
        <v>1332</v>
      </c>
      <c r="B20" s="1176">
        <v>316800</v>
      </c>
      <c r="D20" s="1175" t="s">
        <v>1333</v>
      </c>
      <c r="E20" s="1176">
        <v>839000</v>
      </c>
      <c r="G20" s="1175">
        <v>1750</v>
      </c>
      <c r="H20" s="1176">
        <v>1750000</v>
      </c>
      <c r="J20" s="1175" t="s">
        <v>1334</v>
      </c>
      <c r="K20" s="1176">
        <v>3500000</v>
      </c>
      <c r="M20" s="1175" t="s">
        <v>1335</v>
      </c>
      <c r="N20" s="1176">
        <v>8000000</v>
      </c>
    </row>
    <row r="21" spans="1:14">
      <c r="A21" s="1175" t="s">
        <v>1336</v>
      </c>
      <c r="B21" s="1176">
        <v>335600</v>
      </c>
      <c r="D21" s="1175" t="s">
        <v>1337</v>
      </c>
      <c r="E21" s="1176">
        <v>846400</v>
      </c>
      <c r="G21" s="1175" t="s">
        <v>1338</v>
      </c>
      <c r="H21" s="1176">
        <v>1750000</v>
      </c>
      <c r="J21" s="1175" t="s">
        <v>1339</v>
      </c>
      <c r="K21" s="1176">
        <v>3500000</v>
      </c>
      <c r="M21" s="1175" t="s">
        <v>1340</v>
      </c>
      <c r="N21" s="1176">
        <v>8750000</v>
      </c>
    </row>
    <row r="22" spans="1:14">
      <c r="A22" s="1178" t="s">
        <v>55</v>
      </c>
      <c r="B22" s="1179">
        <v>350000</v>
      </c>
      <c r="D22" s="1175">
        <v>900</v>
      </c>
      <c r="E22" s="1176">
        <v>900000</v>
      </c>
      <c r="G22" s="1175" t="s">
        <v>1341</v>
      </c>
      <c r="H22" s="1176">
        <v>1800000</v>
      </c>
      <c r="J22" s="1175" t="s">
        <v>1342</v>
      </c>
      <c r="K22" s="1176">
        <v>3600000</v>
      </c>
      <c r="M22" s="1175" t="s">
        <v>1343</v>
      </c>
      <c r="N22" s="1176">
        <v>9000000</v>
      </c>
    </row>
    <row r="23" spans="1:14">
      <c r="A23" s="1175" t="s">
        <v>1344</v>
      </c>
      <c r="B23" s="1176">
        <v>399300</v>
      </c>
      <c r="D23" s="1175" t="s">
        <v>1345</v>
      </c>
      <c r="E23" s="1176">
        <v>900000</v>
      </c>
      <c r="G23" s="1175" t="s">
        <v>1346</v>
      </c>
      <c r="H23" s="1176">
        <v>1800000</v>
      </c>
      <c r="J23" s="1175" t="s">
        <v>1347</v>
      </c>
      <c r="K23" s="1176">
        <v>3600000</v>
      </c>
      <c r="M23" s="1175" t="s">
        <v>1348</v>
      </c>
      <c r="N23" s="1176">
        <v>10000000</v>
      </c>
    </row>
    <row r="24" spans="1:14">
      <c r="A24" s="1178" t="s">
        <v>56</v>
      </c>
      <c r="B24" s="1179">
        <v>400000</v>
      </c>
      <c r="D24" s="1175">
        <v>1000</v>
      </c>
      <c r="E24" s="1176">
        <v>1000000</v>
      </c>
      <c r="G24" s="1175" t="s">
        <v>1349</v>
      </c>
      <c r="H24" s="1176">
        <v>1800000</v>
      </c>
      <c r="J24" s="1175" t="s">
        <v>1350</v>
      </c>
      <c r="K24" s="1176">
        <v>3750000</v>
      </c>
      <c r="M24" s="1175" t="s">
        <v>1351</v>
      </c>
      <c r="N24" s="1176">
        <v>10500000</v>
      </c>
    </row>
    <row r="25" spans="1:14">
      <c r="A25" s="1175" t="s">
        <v>1352</v>
      </c>
      <c r="B25" s="1176">
        <v>422400</v>
      </c>
      <c r="D25" s="1175" t="s">
        <v>1353</v>
      </c>
      <c r="E25" s="1176">
        <v>1000000</v>
      </c>
      <c r="G25" s="1175">
        <v>2000</v>
      </c>
      <c r="H25" s="1176">
        <v>2000000</v>
      </c>
      <c r="J25" s="1175" t="s">
        <v>1354</v>
      </c>
      <c r="K25" s="1176">
        <v>3750000</v>
      </c>
      <c r="M25" s="1175" t="s">
        <v>1355</v>
      </c>
      <c r="N25" s="1176">
        <v>12000000</v>
      </c>
    </row>
  </sheetData>
  <printOptions horizontalCentered="1" verticalCentered="1"/>
  <pageMargins left="0.7" right="0.7" top="0.75" bottom="0.75" header="0.3" footer="0.3"/>
  <pageSetup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398DA-835B-4C6C-87B7-2CF397EADCF0}">
  <sheetPr>
    <pageSetUpPr fitToPage="1"/>
  </sheetPr>
  <dimension ref="A1:BB53"/>
  <sheetViews>
    <sheetView workbookViewId="0">
      <selection activeCell="AC26" sqref="AC26"/>
    </sheetView>
  </sheetViews>
  <sheetFormatPr defaultRowHeight="15"/>
  <cols>
    <col min="1" max="2" width="8" style="1180" bestFit="1" customWidth="1"/>
    <col min="3" max="8" width="5" style="1180" bestFit="1" customWidth="1"/>
    <col min="9" max="9" width="1.140625" style="1180" customWidth="1"/>
    <col min="10" max="10" width="8" style="1180" bestFit="1" customWidth="1"/>
    <col min="11" max="11" width="9" style="1180" bestFit="1" customWidth="1"/>
    <col min="12" max="17" width="5" style="1180" bestFit="1" customWidth="1"/>
    <col min="18" max="18" width="0.85546875" style="1180" customWidth="1"/>
    <col min="19" max="19" width="8" style="1180" bestFit="1" customWidth="1"/>
    <col min="20" max="20" width="9" style="1180" bestFit="1" customWidth="1"/>
    <col min="21" max="26" width="5" style="1180" bestFit="1" customWidth="1"/>
    <col min="27" max="27" width="9.85546875" style="1180" customWidth="1"/>
    <col min="28" max="28" width="6" style="1180" bestFit="1" customWidth="1"/>
    <col min="29" max="29" width="8" style="1180" bestFit="1" customWidth="1"/>
    <col min="30" max="35" width="5" style="1180" bestFit="1" customWidth="1"/>
    <col min="36" max="36" width="1" style="1180" customWidth="1"/>
    <col min="37" max="37" width="8" style="1180" bestFit="1" customWidth="1"/>
    <col min="38" max="38" width="9" style="1180" bestFit="1" customWidth="1"/>
    <col min="39" max="44" width="5" style="1180" bestFit="1" customWidth="1"/>
    <col min="45" max="45" width="1.28515625" style="1180" customWidth="1"/>
    <col min="46" max="46" width="8" style="1180" bestFit="1" customWidth="1"/>
    <col min="47" max="47" width="9" style="1180" bestFit="1" customWidth="1"/>
    <col min="48" max="53" width="5" style="1180" bestFit="1" customWidth="1"/>
    <col min="54" max="54" width="8.140625" style="1180" customWidth="1"/>
    <col min="55" max="16384" width="9.140625" style="1180"/>
  </cols>
  <sheetData>
    <row r="1" spans="1:54">
      <c r="A1" s="1303" t="s">
        <v>1356</v>
      </c>
      <c r="B1" s="1303"/>
      <c r="C1" s="1303"/>
      <c r="D1" s="1303"/>
      <c r="E1" s="1303"/>
      <c r="F1" s="1303"/>
      <c r="G1" s="1303"/>
      <c r="H1" s="1303"/>
      <c r="I1" s="1303"/>
      <c r="J1" s="1303"/>
      <c r="K1" s="1303"/>
      <c r="L1" s="1303"/>
      <c r="M1" s="1303"/>
      <c r="N1" s="1303"/>
      <c r="O1" s="1303"/>
      <c r="P1" s="1303"/>
      <c r="Q1" s="1303"/>
      <c r="R1" s="1303"/>
      <c r="S1" s="1303"/>
      <c r="T1" s="1303"/>
      <c r="U1" s="1303"/>
      <c r="V1" s="1303"/>
      <c r="W1" s="1303"/>
      <c r="X1" s="1303"/>
      <c r="Y1" s="1303"/>
      <c r="Z1" s="1303"/>
    </row>
    <row r="2" spans="1:54">
      <c r="A2" s="1181"/>
      <c r="B2" s="1181"/>
      <c r="C2" s="1181" t="s">
        <v>1357</v>
      </c>
      <c r="D2" s="1181" t="s">
        <v>1357</v>
      </c>
      <c r="E2" s="1181" t="s">
        <v>1357</v>
      </c>
      <c r="F2" s="1181" t="s">
        <v>1357</v>
      </c>
      <c r="G2" s="1181" t="s">
        <v>1357</v>
      </c>
      <c r="H2" s="1181" t="s">
        <v>1357</v>
      </c>
    </row>
    <row r="3" spans="1:54">
      <c r="A3" s="1181" t="s">
        <v>4</v>
      </c>
      <c r="B3" s="1182" t="s">
        <v>42</v>
      </c>
      <c r="C3" s="1183" t="s">
        <v>636</v>
      </c>
      <c r="D3" s="1183" t="s">
        <v>637</v>
      </c>
      <c r="E3" s="1183" t="s">
        <v>643</v>
      </c>
      <c r="F3" s="1184" t="s">
        <v>636</v>
      </c>
      <c r="G3" s="1184" t="s">
        <v>637</v>
      </c>
      <c r="H3" s="1184" t="s">
        <v>643</v>
      </c>
      <c r="J3" s="1185"/>
      <c r="K3" s="1185"/>
      <c r="L3" s="1186"/>
      <c r="M3" s="1186"/>
      <c r="N3" s="1186"/>
      <c r="O3" s="1186"/>
      <c r="P3" s="1186"/>
      <c r="Q3" s="1186"/>
      <c r="R3" s="1186"/>
      <c r="S3" s="1185"/>
      <c r="T3" s="1185"/>
      <c r="U3" s="1186"/>
      <c r="V3" s="1186"/>
      <c r="W3" s="1186"/>
      <c r="X3" s="1186"/>
      <c r="Y3" s="1186"/>
      <c r="Z3" s="1186"/>
      <c r="AA3" s="1186"/>
      <c r="AB3" s="1185"/>
      <c r="AC3" s="1185"/>
      <c r="AD3" s="1186"/>
      <c r="AE3" s="1186"/>
      <c r="AF3" s="1186"/>
      <c r="AG3" s="1186"/>
      <c r="AH3" s="1186"/>
      <c r="AI3" s="1186"/>
      <c r="AJ3" s="1186"/>
      <c r="AK3" s="1185"/>
      <c r="AL3" s="1185"/>
      <c r="AM3" s="1186"/>
      <c r="AN3" s="1186"/>
      <c r="AO3" s="1186"/>
      <c r="AP3" s="1186"/>
      <c r="AQ3" s="1186"/>
      <c r="AR3" s="1186"/>
      <c r="AS3" s="1186"/>
      <c r="AT3" s="1185"/>
      <c r="AU3" s="1185"/>
      <c r="AV3" s="1186"/>
      <c r="AW3" s="1186"/>
      <c r="AX3" s="1186"/>
      <c r="AY3" s="1186"/>
      <c r="AZ3" s="1186"/>
      <c r="BA3" s="1186"/>
      <c r="BB3" s="1186"/>
    </row>
    <row r="4" spans="1:54">
      <c r="A4" s="1187">
        <v>14</v>
      </c>
      <c r="B4" s="1188">
        <v>4110</v>
      </c>
      <c r="C4" s="1183">
        <v>15</v>
      </c>
      <c r="D4" s="1183">
        <v>20</v>
      </c>
      <c r="E4" s="1183">
        <v>25</v>
      </c>
      <c r="F4" s="1189" t="s">
        <v>475</v>
      </c>
      <c r="G4" s="1189" t="s">
        <v>475</v>
      </c>
      <c r="H4" s="1189" t="s">
        <v>475</v>
      </c>
      <c r="J4" s="1185" t="str">
        <f t="shared" ref="J4:J11" si="0">CONCATENATE("2 X ",A4)</f>
        <v>2 X 14</v>
      </c>
      <c r="K4" s="1185">
        <f t="shared" ref="K4:K11" si="1">B4*2</f>
        <v>8220</v>
      </c>
      <c r="L4" s="1185"/>
      <c r="M4" s="1185"/>
      <c r="N4" s="1185"/>
      <c r="O4" s="1185"/>
      <c r="P4" s="1185"/>
      <c r="Q4" s="1185"/>
      <c r="R4" s="1186"/>
      <c r="S4" s="1185" t="str">
        <f t="shared" ref="S4:S11" si="2">CONCATENATE("3 X ",A4)</f>
        <v>3 X 14</v>
      </c>
      <c r="T4" s="1185">
        <f t="shared" ref="T4:T11" si="3">3*B4</f>
        <v>12330</v>
      </c>
      <c r="U4" s="1185"/>
      <c r="V4" s="1185"/>
      <c r="W4" s="1185"/>
      <c r="X4" s="1185"/>
      <c r="Y4" s="1185"/>
      <c r="Z4" s="1185"/>
      <c r="AA4" s="1186"/>
      <c r="AB4" s="1185" t="str">
        <f t="shared" ref="AB4:AB10" si="4">CONCATENATE("4 X ",A4)</f>
        <v>4 X 14</v>
      </c>
      <c r="AC4" s="1185">
        <f t="shared" ref="AC4:AC10" si="5">B4*4</f>
        <v>16440</v>
      </c>
      <c r="AD4" s="1185"/>
      <c r="AE4" s="1185"/>
      <c r="AF4" s="1185"/>
      <c r="AG4" s="1185"/>
      <c r="AH4" s="1185"/>
      <c r="AI4" s="1185"/>
      <c r="AJ4" s="1186"/>
      <c r="AK4" s="1185" t="str">
        <f t="shared" ref="AK4:AK10" si="6">CONCATENATE("5 X ",A4)</f>
        <v>5 X 14</v>
      </c>
      <c r="AL4" s="1185">
        <f t="shared" ref="AL4:AL10" si="7">5*B4</f>
        <v>20550</v>
      </c>
      <c r="AM4" s="1185"/>
      <c r="AN4" s="1185"/>
      <c r="AO4" s="1185"/>
      <c r="AP4" s="1185"/>
      <c r="AQ4" s="1185"/>
      <c r="AR4" s="1185"/>
      <c r="AS4" s="1186"/>
      <c r="AT4" s="1185" t="str">
        <f t="shared" ref="AT4:AT10" si="8">CONCATENATE("6 X ",A4)</f>
        <v>6 X 14</v>
      </c>
      <c r="AU4" s="1185">
        <f t="shared" ref="AU4:AU10" si="9">6*B4</f>
        <v>24660</v>
      </c>
      <c r="AV4" s="1185"/>
      <c r="AW4" s="1185"/>
      <c r="AX4" s="1185"/>
      <c r="AY4" s="1185"/>
      <c r="AZ4" s="1185"/>
      <c r="BA4" s="1185"/>
      <c r="BB4" s="1186"/>
    </row>
    <row r="5" spans="1:54">
      <c r="A5" s="1187">
        <v>12</v>
      </c>
      <c r="B5" s="1188">
        <v>6530</v>
      </c>
      <c r="C5" s="1183">
        <v>20</v>
      </c>
      <c r="D5" s="1183">
        <v>25</v>
      </c>
      <c r="E5" s="1183">
        <v>30</v>
      </c>
      <c r="F5" s="1184">
        <v>15</v>
      </c>
      <c r="G5" s="1184">
        <v>20</v>
      </c>
      <c r="H5" s="1184">
        <v>25</v>
      </c>
      <c r="J5" s="1185" t="str">
        <f t="shared" si="0"/>
        <v>2 X 12</v>
      </c>
      <c r="K5" s="1185">
        <f t="shared" si="1"/>
        <v>13060</v>
      </c>
      <c r="L5" s="1185"/>
      <c r="M5" s="1185"/>
      <c r="N5" s="1185"/>
      <c r="O5" s="1185"/>
      <c r="P5" s="1185"/>
      <c r="Q5" s="1185"/>
      <c r="R5" s="1186"/>
      <c r="S5" s="1185" t="str">
        <f t="shared" si="2"/>
        <v>3 X 12</v>
      </c>
      <c r="T5" s="1185">
        <f t="shared" si="3"/>
        <v>19590</v>
      </c>
      <c r="U5" s="1185"/>
      <c r="V5" s="1185"/>
      <c r="W5" s="1185"/>
      <c r="X5" s="1185"/>
      <c r="Y5" s="1185"/>
      <c r="Z5" s="1185"/>
      <c r="AA5" s="1186"/>
      <c r="AB5" s="1185" t="str">
        <f t="shared" si="4"/>
        <v>4 X 12</v>
      </c>
      <c r="AC5" s="1185">
        <f t="shared" si="5"/>
        <v>26120</v>
      </c>
      <c r="AD5" s="1185"/>
      <c r="AE5" s="1185"/>
      <c r="AF5" s="1185"/>
      <c r="AG5" s="1185"/>
      <c r="AH5" s="1185"/>
      <c r="AI5" s="1185"/>
      <c r="AJ5" s="1186"/>
      <c r="AK5" s="1185" t="str">
        <f t="shared" si="6"/>
        <v>5 X 12</v>
      </c>
      <c r="AL5" s="1185">
        <f t="shared" si="7"/>
        <v>32650</v>
      </c>
      <c r="AM5" s="1185"/>
      <c r="AN5" s="1185"/>
      <c r="AO5" s="1185"/>
      <c r="AP5" s="1185"/>
      <c r="AQ5" s="1185"/>
      <c r="AR5" s="1185"/>
      <c r="AS5" s="1186"/>
      <c r="AT5" s="1185" t="str">
        <f t="shared" si="8"/>
        <v>6 X 12</v>
      </c>
      <c r="AU5" s="1185">
        <f t="shared" si="9"/>
        <v>39180</v>
      </c>
      <c r="AV5" s="1185"/>
      <c r="AW5" s="1185"/>
      <c r="AX5" s="1185"/>
      <c r="AY5" s="1185"/>
      <c r="AZ5" s="1185"/>
      <c r="BA5" s="1185"/>
      <c r="BB5" s="1186"/>
    </row>
    <row r="6" spans="1:54">
      <c r="A6" s="1187">
        <v>10</v>
      </c>
      <c r="B6" s="1188">
        <v>10380</v>
      </c>
      <c r="C6" s="1183">
        <v>30</v>
      </c>
      <c r="D6" s="1183">
        <v>35</v>
      </c>
      <c r="E6" s="1183">
        <v>40</v>
      </c>
      <c r="F6" s="1184">
        <v>25</v>
      </c>
      <c r="G6" s="1184">
        <v>30</v>
      </c>
      <c r="H6" s="1184">
        <v>35</v>
      </c>
      <c r="J6" s="1185" t="str">
        <f t="shared" si="0"/>
        <v>2 X 10</v>
      </c>
      <c r="K6" s="1185">
        <f t="shared" si="1"/>
        <v>20760</v>
      </c>
      <c r="L6" s="1185"/>
      <c r="M6" s="1185"/>
      <c r="N6" s="1185"/>
      <c r="O6" s="1185"/>
      <c r="P6" s="1185"/>
      <c r="Q6" s="1185"/>
      <c r="R6" s="1186"/>
      <c r="S6" s="1185" t="str">
        <f t="shared" si="2"/>
        <v>3 X 10</v>
      </c>
      <c r="T6" s="1185">
        <f t="shared" si="3"/>
        <v>31140</v>
      </c>
      <c r="U6" s="1185"/>
      <c r="V6" s="1185"/>
      <c r="W6" s="1185"/>
      <c r="X6" s="1185"/>
      <c r="Y6" s="1185"/>
      <c r="Z6" s="1185"/>
      <c r="AA6" s="1186"/>
      <c r="AB6" s="1185" t="str">
        <f t="shared" si="4"/>
        <v>4 X 10</v>
      </c>
      <c r="AC6" s="1185">
        <f t="shared" si="5"/>
        <v>41520</v>
      </c>
      <c r="AD6" s="1185"/>
      <c r="AE6" s="1185"/>
      <c r="AF6" s="1185"/>
      <c r="AG6" s="1185"/>
      <c r="AH6" s="1185"/>
      <c r="AI6" s="1185"/>
      <c r="AJ6" s="1186"/>
      <c r="AK6" s="1185" t="str">
        <f t="shared" si="6"/>
        <v>5 X 10</v>
      </c>
      <c r="AL6" s="1185">
        <f t="shared" si="7"/>
        <v>51900</v>
      </c>
      <c r="AM6" s="1185"/>
      <c r="AN6" s="1185"/>
      <c r="AO6" s="1185"/>
      <c r="AP6" s="1185"/>
      <c r="AQ6" s="1185"/>
      <c r="AR6" s="1185"/>
      <c r="AS6" s="1186"/>
      <c r="AT6" s="1185" t="str">
        <f t="shared" si="8"/>
        <v>6 X 10</v>
      </c>
      <c r="AU6" s="1185">
        <f t="shared" si="9"/>
        <v>62280</v>
      </c>
      <c r="AV6" s="1185"/>
      <c r="AW6" s="1185"/>
      <c r="AX6" s="1185"/>
      <c r="AY6" s="1185"/>
      <c r="AZ6" s="1185"/>
      <c r="BA6" s="1185"/>
      <c r="BB6" s="1186"/>
    </row>
    <row r="7" spans="1:54">
      <c r="A7" s="1187" t="s">
        <v>47</v>
      </c>
      <c r="B7" s="1188">
        <v>16510</v>
      </c>
      <c r="C7" s="1183">
        <v>40</v>
      </c>
      <c r="D7" s="1183">
        <v>50</v>
      </c>
      <c r="E7" s="1183">
        <v>55</v>
      </c>
      <c r="F7" s="1184">
        <v>35</v>
      </c>
      <c r="G7" s="1184">
        <v>40</v>
      </c>
      <c r="H7" s="1184">
        <v>45</v>
      </c>
      <c r="J7" s="1185" t="str">
        <f t="shared" si="0"/>
        <v>2 X 8</v>
      </c>
      <c r="K7" s="1185">
        <f t="shared" si="1"/>
        <v>33020</v>
      </c>
      <c r="L7" s="1185"/>
      <c r="M7" s="1185"/>
      <c r="N7" s="1185"/>
      <c r="O7" s="1185"/>
      <c r="P7" s="1185"/>
      <c r="Q7" s="1185"/>
      <c r="R7" s="1186"/>
      <c r="S7" s="1185" t="str">
        <f t="shared" si="2"/>
        <v>3 X 8</v>
      </c>
      <c r="T7" s="1185">
        <f t="shared" si="3"/>
        <v>49530</v>
      </c>
      <c r="U7" s="1185"/>
      <c r="V7" s="1185"/>
      <c r="W7" s="1185"/>
      <c r="X7" s="1185"/>
      <c r="Y7" s="1185"/>
      <c r="Z7" s="1185"/>
      <c r="AA7" s="1186"/>
      <c r="AB7" s="1185" t="str">
        <f t="shared" si="4"/>
        <v>4 X 8</v>
      </c>
      <c r="AC7" s="1185">
        <f t="shared" si="5"/>
        <v>66040</v>
      </c>
      <c r="AD7" s="1185"/>
      <c r="AE7" s="1185"/>
      <c r="AF7" s="1185"/>
      <c r="AG7" s="1185"/>
      <c r="AH7" s="1185"/>
      <c r="AI7" s="1185"/>
      <c r="AJ7" s="1186"/>
      <c r="AK7" s="1185" t="str">
        <f t="shared" si="6"/>
        <v>5 X 8</v>
      </c>
      <c r="AL7" s="1185">
        <f t="shared" si="7"/>
        <v>82550</v>
      </c>
      <c r="AM7" s="1185"/>
      <c r="AN7" s="1185"/>
      <c r="AO7" s="1185"/>
      <c r="AP7" s="1185"/>
      <c r="AQ7" s="1185"/>
      <c r="AR7" s="1185"/>
      <c r="AS7" s="1186"/>
      <c r="AT7" s="1185" t="str">
        <f t="shared" si="8"/>
        <v>6 X 8</v>
      </c>
      <c r="AU7" s="1185">
        <f t="shared" si="9"/>
        <v>99060</v>
      </c>
      <c r="AV7" s="1185"/>
      <c r="AW7" s="1185"/>
      <c r="AX7" s="1185"/>
      <c r="AY7" s="1185"/>
      <c r="AZ7" s="1185"/>
      <c r="BA7" s="1185"/>
      <c r="BB7" s="1186"/>
    </row>
    <row r="8" spans="1:54">
      <c r="A8" s="1187" t="s">
        <v>48</v>
      </c>
      <c r="B8" s="1188">
        <v>26240</v>
      </c>
      <c r="C8" s="1183">
        <v>55</v>
      </c>
      <c r="D8" s="1183">
        <v>65</v>
      </c>
      <c r="E8" s="1183">
        <v>75</v>
      </c>
      <c r="F8" s="1184">
        <v>40</v>
      </c>
      <c r="G8" s="1184">
        <v>50</v>
      </c>
      <c r="H8" s="1184">
        <v>55</v>
      </c>
      <c r="J8" s="1185" t="str">
        <f t="shared" si="0"/>
        <v>2 X 6</v>
      </c>
      <c r="K8" s="1185">
        <f t="shared" si="1"/>
        <v>52480</v>
      </c>
      <c r="L8" s="1185"/>
      <c r="M8" s="1185"/>
      <c r="N8" s="1185"/>
      <c r="O8" s="1185"/>
      <c r="P8" s="1185"/>
      <c r="Q8" s="1185"/>
      <c r="R8" s="1186"/>
      <c r="S8" s="1185" t="str">
        <f t="shared" si="2"/>
        <v>3 X 6</v>
      </c>
      <c r="T8" s="1185">
        <f t="shared" si="3"/>
        <v>78720</v>
      </c>
      <c r="U8" s="1185"/>
      <c r="V8" s="1185"/>
      <c r="W8" s="1185"/>
      <c r="X8" s="1185"/>
      <c r="Y8" s="1185"/>
      <c r="Z8" s="1185"/>
      <c r="AA8" s="1186"/>
      <c r="AB8" s="1185" t="str">
        <f t="shared" si="4"/>
        <v>4 X 6</v>
      </c>
      <c r="AC8" s="1185">
        <f t="shared" si="5"/>
        <v>104960</v>
      </c>
      <c r="AD8" s="1185"/>
      <c r="AE8" s="1185"/>
      <c r="AF8" s="1185"/>
      <c r="AG8" s="1185"/>
      <c r="AH8" s="1185"/>
      <c r="AI8" s="1185"/>
      <c r="AJ8" s="1186"/>
      <c r="AK8" s="1185" t="str">
        <f t="shared" si="6"/>
        <v>5 X 6</v>
      </c>
      <c r="AL8" s="1185">
        <f t="shared" si="7"/>
        <v>131200</v>
      </c>
      <c r="AM8" s="1185"/>
      <c r="AN8" s="1185"/>
      <c r="AO8" s="1185"/>
      <c r="AP8" s="1185"/>
      <c r="AQ8" s="1185"/>
      <c r="AR8" s="1185"/>
      <c r="AS8" s="1186"/>
      <c r="AT8" s="1185" t="str">
        <f t="shared" si="8"/>
        <v>6 X 6</v>
      </c>
      <c r="AU8" s="1185">
        <f t="shared" si="9"/>
        <v>157440</v>
      </c>
      <c r="AV8" s="1185"/>
      <c r="AW8" s="1185"/>
      <c r="AX8" s="1185"/>
      <c r="AY8" s="1185"/>
      <c r="AZ8" s="1185"/>
      <c r="BA8" s="1185"/>
      <c r="BB8" s="1186"/>
    </row>
    <row r="9" spans="1:54">
      <c r="A9" s="1187" t="s">
        <v>49</v>
      </c>
      <c r="B9" s="1188">
        <v>41740</v>
      </c>
      <c r="C9" s="1183">
        <v>70</v>
      </c>
      <c r="D9" s="1183">
        <v>85</v>
      </c>
      <c r="E9" s="1183">
        <v>95</v>
      </c>
      <c r="F9" s="1184">
        <v>55</v>
      </c>
      <c r="G9" s="1184">
        <v>65</v>
      </c>
      <c r="H9" s="1184">
        <v>75</v>
      </c>
      <c r="J9" s="1185" t="str">
        <f t="shared" si="0"/>
        <v>2 X 4</v>
      </c>
      <c r="K9" s="1185">
        <f t="shared" si="1"/>
        <v>83480</v>
      </c>
      <c r="L9" s="1185"/>
      <c r="M9" s="1185"/>
      <c r="N9" s="1185"/>
      <c r="O9" s="1185"/>
      <c r="P9" s="1185"/>
      <c r="Q9" s="1185"/>
      <c r="R9" s="1186"/>
      <c r="S9" s="1185" t="str">
        <f t="shared" si="2"/>
        <v>3 X 4</v>
      </c>
      <c r="T9" s="1185">
        <f t="shared" si="3"/>
        <v>125220</v>
      </c>
      <c r="U9" s="1185"/>
      <c r="V9" s="1185"/>
      <c r="W9" s="1185"/>
      <c r="X9" s="1185"/>
      <c r="Y9" s="1185"/>
      <c r="Z9" s="1185"/>
      <c r="AA9" s="1186"/>
      <c r="AB9" s="1185" t="str">
        <f t="shared" si="4"/>
        <v>4 X 4</v>
      </c>
      <c r="AC9" s="1185">
        <f t="shared" si="5"/>
        <v>166960</v>
      </c>
      <c r="AD9" s="1185"/>
      <c r="AE9" s="1185"/>
      <c r="AF9" s="1185"/>
      <c r="AG9" s="1185"/>
      <c r="AH9" s="1185"/>
      <c r="AI9" s="1185"/>
      <c r="AJ9" s="1186"/>
      <c r="AK9" s="1185" t="str">
        <f t="shared" si="6"/>
        <v>5 X 4</v>
      </c>
      <c r="AL9" s="1185">
        <f t="shared" si="7"/>
        <v>208700</v>
      </c>
      <c r="AM9" s="1185"/>
      <c r="AN9" s="1185"/>
      <c r="AO9" s="1185"/>
      <c r="AP9" s="1185"/>
      <c r="AQ9" s="1185"/>
      <c r="AR9" s="1185"/>
      <c r="AS9" s="1186"/>
      <c r="AT9" s="1185" t="str">
        <f t="shared" si="8"/>
        <v>6 X 4</v>
      </c>
      <c r="AU9" s="1185">
        <f t="shared" si="9"/>
        <v>250440</v>
      </c>
      <c r="AV9" s="1185"/>
      <c r="AW9" s="1185"/>
      <c r="AX9" s="1185"/>
      <c r="AY9" s="1185"/>
      <c r="AZ9" s="1185"/>
      <c r="BA9" s="1185"/>
      <c r="BB9" s="1186"/>
    </row>
    <row r="10" spans="1:54">
      <c r="A10" s="1187" t="s">
        <v>50</v>
      </c>
      <c r="B10" s="1188">
        <v>52620</v>
      </c>
      <c r="C10" s="1183">
        <v>85</v>
      </c>
      <c r="D10" s="1183">
        <v>100</v>
      </c>
      <c r="E10" s="1183">
        <v>115</v>
      </c>
      <c r="F10" s="1184">
        <v>65</v>
      </c>
      <c r="G10" s="1184">
        <v>75</v>
      </c>
      <c r="H10" s="1184">
        <v>85</v>
      </c>
      <c r="J10" s="1185" t="str">
        <f t="shared" si="0"/>
        <v>2 X 3</v>
      </c>
      <c r="K10" s="1185">
        <f t="shared" si="1"/>
        <v>105240</v>
      </c>
      <c r="L10" s="1185"/>
      <c r="M10" s="1185"/>
      <c r="N10" s="1185"/>
      <c r="O10" s="1185"/>
      <c r="P10" s="1185"/>
      <c r="Q10" s="1185"/>
      <c r="R10" s="1186"/>
      <c r="S10" s="1185" t="str">
        <f t="shared" si="2"/>
        <v>3 X 3</v>
      </c>
      <c r="T10" s="1185">
        <f t="shared" si="3"/>
        <v>157860</v>
      </c>
      <c r="U10" s="1185"/>
      <c r="V10" s="1185"/>
      <c r="W10" s="1185"/>
      <c r="X10" s="1185"/>
      <c r="Y10" s="1185"/>
      <c r="Z10" s="1185"/>
      <c r="AA10" s="1186"/>
      <c r="AB10" s="1185" t="str">
        <f t="shared" si="4"/>
        <v>4 X 3</v>
      </c>
      <c r="AC10" s="1185">
        <f t="shared" si="5"/>
        <v>210480</v>
      </c>
      <c r="AD10" s="1185"/>
      <c r="AE10" s="1185"/>
      <c r="AF10" s="1185"/>
      <c r="AG10" s="1185"/>
      <c r="AH10" s="1185"/>
      <c r="AI10" s="1185"/>
      <c r="AJ10" s="1186"/>
      <c r="AK10" s="1185" t="str">
        <f t="shared" si="6"/>
        <v>5 X 3</v>
      </c>
      <c r="AL10" s="1185">
        <f t="shared" si="7"/>
        <v>263100</v>
      </c>
      <c r="AM10" s="1185"/>
      <c r="AN10" s="1185"/>
      <c r="AO10" s="1185"/>
      <c r="AP10" s="1185"/>
      <c r="AQ10" s="1185"/>
      <c r="AR10" s="1185"/>
      <c r="AS10" s="1186"/>
      <c r="AT10" s="1185" t="str">
        <f t="shared" si="8"/>
        <v>6 X 3</v>
      </c>
      <c r="AU10" s="1185">
        <f t="shared" si="9"/>
        <v>315720</v>
      </c>
      <c r="AV10" s="1185"/>
      <c r="AW10" s="1185"/>
      <c r="AX10" s="1185"/>
      <c r="AY10" s="1185"/>
      <c r="AZ10" s="1185"/>
      <c r="BA10" s="1185"/>
      <c r="BB10" s="1186"/>
    </row>
    <row r="11" spans="1:54">
      <c r="A11" s="1190" t="s">
        <v>51</v>
      </c>
      <c r="B11" s="1191">
        <v>66360</v>
      </c>
      <c r="C11" s="1192">
        <v>95</v>
      </c>
      <c r="D11" s="1192">
        <v>115</v>
      </c>
      <c r="E11" s="1192">
        <v>130</v>
      </c>
      <c r="F11" s="1193">
        <v>75</v>
      </c>
      <c r="G11" s="1193">
        <v>90</v>
      </c>
      <c r="H11" s="1193">
        <v>100</v>
      </c>
      <c r="J11" s="1194" t="str">
        <f t="shared" si="0"/>
        <v>2 X 2</v>
      </c>
      <c r="K11" s="1194">
        <f t="shared" si="1"/>
        <v>132720</v>
      </c>
      <c r="L11" s="1181" t="s">
        <v>1358</v>
      </c>
      <c r="M11" s="1181" t="s">
        <v>1358</v>
      </c>
      <c r="N11" s="1181" t="s">
        <v>1358</v>
      </c>
      <c r="O11" s="1181" t="s">
        <v>1358</v>
      </c>
      <c r="P11" s="1181" t="s">
        <v>1358</v>
      </c>
      <c r="Q11" s="1181" t="s">
        <v>1358</v>
      </c>
      <c r="S11" s="1194" t="str">
        <f t="shared" si="2"/>
        <v>3 X 2</v>
      </c>
      <c r="T11" s="1194">
        <f t="shared" si="3"/>
        <v>199080</v>
      </c>
      <c r="U11" s="1181" t="s">
        <v>1359</v>
      </c>
      <c r="V11" s="1181" t="s">
        <v>1359</v>
      </c>
      <c r="W11" s="1181" t="s">
        <v>1359</v>
      </c>
      <c r="X11" s="1181" t="s">
        <v>1359</v>
      </c>
      <c r="Y11" s="1181" t="s">
        <v>1359</v>
      </c>
      <c r="Z11" s="1181" t="s">
        <v>1359</v>
      </c>
    </row>
    <row r="12" spans="1:54">
      <c r="A12" s="1195" t="s">
        <v>52</v>
      </c>
      <c r="B12" s="1196">
        <v>83690</v>
      </c>
      <c r="C12" s="1183">
        <v>110</v>
      </c>
      <c r="D12" s="1183">
        <v>130</v>
      </c>
      <c r="E12" s="1183">
        <v>145</v>
      </c>
      <c r="F12" s="1184">
        <v>85</v>
      </c>
      <c r="G12" s="1184">
        <v>100</v>
      </c>
      <c r="H12" s="1184">
        <v>115</v>
      </c>
      <c r="J12" s="1181" t="s">
        <v>4</v>
      </c>
      <c r="K12" s="1182" t="s">
        <v>42</v>
      </c>
      <c r="L12" s="1197" t="s">
        <v>636</v>
      </c>
      <c r="M12" s="1197" t="s">
        <v>637</v>
      </c>
      <c r="N12" s="1197" t="s">
        <v>643</v>
      </c>
      <c r="O12" s="1198" t="s">
        <v>636</v>
      </c>
      <c r="P12" s="1198" t="s">
        <v>637</v>
      </c>
      <c r="Q12" s="1198" t="s">
        <v>643</v>
      </c>
      <c r="S12" s="1181" t="s">
        <v>4</v>
      </c>
      <c r="T12" s="1182" t="s">
        <v>42</v>
      </c>
      <c r="U12" s="1197" t="s">
        <v>636</v>
      </c>
      <c r="V12" s="1197" t="s">
        <v>637</v>
      </c>
      <c r="W12" s="1197" t="s">
        <v>643</v>
      </c>
      <c r="X12" s="1198" t="s">
        <v>636</v>
      </c>
      <c r="Y12" s="1198" t="s">
        <v>637</v>
      </c>
      <c r="Z12" s="1198" t="s">
        <v>643</v>
      </c>
    </row>
    <row r="13" spans="1:54">
      <c r="A13" s="1195" t="s">
        <v>18</v>
      </c>
      <c r="B13" s="1196">
        <v>105600</v>
      </c>
      <c r="C13" s="1183">
        <v>125</v>
      </c>
      <c r="D13" s="1183">
        <v>150</v>
      </c>
      <c r="E13" s="1183">
        <v>170</v>
      </c>
      <c r="F13" s="1184">
        <v>100</v>
      </c>
      <c r="G13" s="1184">
        <v>120</v>
      </c>
      <c r="H13" s="1184">
        <v>135</v>
      </c>
      <c r="J13" s="1181" t="str">
        <f t="shared" ref="J13:J31" si="10">CONCATENATE("2 X ",A13)</f>
        <v>2 X 1/O</v>
      </c>
      <c r="K13" s="1182">
        <f t="shared" ref="K13:K31" si="11">B13*2</f>
        <v>211200</v>
      </c>
      <c r="L13" s="1199">
        <f>$C13*2</f>
        <v>250</v>
      </c>
      <c r="M13" s="1199">
        <f>$D13*2</f>
        <v>300</v>
      </c>
      <c r="N13" s="1199">
        <f>$E13*2</f>
        <v>340</v>
      </c>
      <c r="O13" s="1200">
        <f>$F13*2</f>
        <v>200</v>
      </c>
      <c r="P13" s="1200">
        <f>$G13*2</f>
        <v>240</v>
      </c>
      <c r="Q13" s="1200">
        <f>$H13*2</f>
        <v>270</v>
      </c>
      <c r="S13" s="1181" t="str">
        <f t="shared" ref="S13:S31" si="12">CONCATENATE("3 X ",A13)</f>
        <v>3 X 1/O</v>
      </c>
      <c r="T13" s="1182">
        <f t="shared" ref="T13:T31" si="13">3*B13</f>
        <v>316800</v>
      </c>
      <c r="U13" s="1199">
        <f>$C13*3</f>
        <v>375</v>
      </c>
      <c r="V13" s="1199">
        <f>$D13*3</f>
        <v>450</v>
      </c>
      <c r="W13" s="1199">
        <f>$E13*3</f>
        <v>510</v>
      </c>
      <c r="X13" s="1200">
        <f>$F13*3</f>
        <v>300</v>
      </c>
      <c r="Y13" s="1200">
        <f>$G13*3</f>
        <v>360</v>
      </c>
      <c r="Z13" s="1200">
        <f>$H13*3</f>
        <v>405</v>
      </c>
    </row>
    <row r="14" spans="1:54">
      <c r="A14" s="1195" t="s">
        <v>20</v>
      </c>
      <c r="B14" s="1196">
        <v>133100</v>
      </c>
      <c r="C14" s="1183">
        <v>145</v>
      </c>
      <c r="D14" s="1183">
        <v>175</v>
      </c>
      <c r="E14" s="1183">
        <v>195</v>
      </c>
      <c r="F14" s="1184">
        <v>115</v>
      </c>
      <c r="G14" s="1184">
        <v>135</v>
      </c>
      <c r="H14" s="1184">
        <v>150</v>
      </c>
      <c r="J14" s="1181" t="str">
        <f t="shared" si="10"/>
        <v>2 X 2/O</v>
      </c>
      <c r="K14" s="1182">
        <f t="shared" si="11"/>
        <v>266200</v>
      </c>
      <c r="L14" s="1199">
        <f t="shared" ref="L14:L31" si="14">$C14*2</f>
        <v>290</v>
      </c>
      <c r="M14" s="1199">
        <f t="shared" ref="M14:M31" si="15">$D14*2</f>
        <v>350</v>
      </c>
      <c r="N14" s="1199">
        <f t="shared" ref="N14:N31" si="16">$E14*2</f>
        <v>390</v>
      </c>
      <c r="O14" s="1200">
        <f t="shared" ref="O14:O31" si="17">$F14*2</f>
        <v>230</v>
      </c>
      <c r="P14" s="1200">
        <f t="shared" ref="P14:P31" si="18">$G14*2</f>
        <v>270</v>
      </c>
      <c r="Q14" s="1200">
        <f t="shared" ref="Q14:Q31" si="19">$H14*2</f>
        <v>300</v>
      </c>
      <c r="S14" s="1181" t="str">
        <f t="shared" si="12"/>
        <v>3 X 2/O</v>
      </c>
      <c r="T14" s="1182">
        <f t="shared" si="13"/>
        <v>399300</v>
      </c>
      <c r="U14" s="1199">
        <f t="shared" ref="U14:U31" si="20">$C14*3</f>
        <v>435</v>
      </c>
      <c r="V14" s="1199">
        <f t="shared" ref="V14:V31" si="21">$D14*3</f>
        <v>525</v>
      </c>
      <c r="W14" s="1199">
        <f t="shared" ref="W14:W31" si="22">$E14*3</f>
        <v>585</v>
      </c>
      <c r="X14" s="1200">
        <f t="shared" ref="X14:X31" si="23">$F14*3</f>
        <v>345</v>
      </c>
      <c r="Y14" s="1200">
        <f t="shared" ref="Y14:Y31" si="24">$G14*3</f>
        <v>405</v>
      </c>
      <c r="Z14" s="1200">
        <f t="shared" ref="Z14:Z31" si="25">$H14*3</f>
        <v>450</v>
      </c>
    </row>
    <row r="15" spans="1:54">
      <c r="A15" s="1195" t="s">
        <v>22</v>
      </c>
      <c r="B15" s="1196">
        <v>167800</v>
      </c>
      <c r="C15" s="1183">
        <v>165</v>
      </c>
      <c r="D15" s="1183">
        <v>200</v>
      </c>
      <c r="E15" s="1183">
        <v>225</v>
      </c>
      <c r="F15" s="1184">
        <v>130</v>
      </c>
      <c r="G15" s="1184">
        <v>155</v>
      </c>
      <c r="H15" s="1184">
        <v>175</v>
      </c>
      <c r="J15" s="1181" t="str">
        <f t="shared" si="10"/>
        <v>2 X 3/O</v>
      </c>
      <c r="K15" s="1182">
        <f t="shared" si="11"/>
        <v>335600</v>
      </c>
      <c r="L15" s="1199">
        <f t="shared" si="14"/>
        <v>330</v>
      </c>
      <c r="M15" s="1199">
        <f t="shared" si="15"/>
        <v>400</v>
      </c>
      <c r="N15" s="1199">
        <f t="shared" si="16"/>
        <v>450</v>
      </c>
      <c r="O15" s="1200">
        <f t="shared" si="17"/>
        <v>260</v>
      </c>
      <c r="P15" s="1200">
        <f t="shared" si="18"/>
        <v>310</v>
      </c>
      <c r="Q15" s="1200">
        <f t="shared" si="19"/>
        <v>350</v>
      </c>
      <c r="S15" s="1181" t="str">
        <f t="shared" si="12"/>
        <v>3 X 3/O</v>
      </c>
      <c r="T15" s="1182">
        <f t="shared" si="13"/>
        <v>503400</v>
      </c>
      <c r="U15" s="1199">
        <f t="shared" si="20"/>
        <v>495</v>
      </c>
      <c r="V15" s="1199">
        <f t="shared" si="21"/>
        <v>600</v>
      </c>
      <c r="W15" s="1199">
        <f t="shared" si="22"/>
        <v>675</v>
      </c>
      <c r="X15" s="1200">
        <f t="shared" si="23"/>
        <v>390</v>
      </c>
      <c r="Y15" s="1200">
        <f t="shared" si="24"/>
        <v>465</v>
      </c>
      <c r="Z15" s="1200">
        <f t="shared" si="25"/>
        <v>525</v>
      </c>
    </row>
    <row r="16" spans="1:54">
      <c r="A16" s="1195" t="s">
        <v>23</v>
      </c>
      <c r="B16" s="1196">
        <v>211600</v>
      </c>
      <c r="C16" s="1183">
        <v>195</v>
      </c>
      <c r="D16" s="1183">
        <v>230</v>
      </c>
      <c r="E16" s="1183">
        <v>260</v>
      </c>
      <c r="F16" s="1184">
        <v>150</v>
      </c>
      <c r="G16" s="1184">
        <v>180</v>
      </c>
      <c r="H16" s="1184">
        <v>205</v>
      </c>
      <c r="J16" s="1181" t="str">
        <f t="shared" si="10"/>
        <v>2 X 4/O</v>
      </c>
      <c r="K16" s="1182">
        <f t="shared" si="11"/>
        <v>423200</v>
      </c>
      <c r="L16" s="1199">
        <f t="shared" si="14"/>
        <v>390</v>
      </c>
      <c r="M16" s="1199">
        <f t="shared" si="15"/>
        <v>460</v>
      </c>
      <c r="N16" s="1199">
        <f t="shared" si="16"/>
        <v>520</v>
      </c>
      <c r="O16" s="1200">
        <f t="shared" si="17"/>
        <v>300</v>
      </c>
      <c r="P16" s="1200">
        <f t="shared" si="18"/>
        <v>360</v>
      </c>
      <c r="Q16" s="1200">
        <f t="shared" si="19"/>
        <v>410</v>
      </c>
      <c r="S16" s="1181" t="str">
        <f t="shared" si="12"/>
        <v>3 X 4/O</v>
      </c>
      <c r="T16" s="1182">
        <f t="shared" si="13"/>
        <v>634800</v>
      </c>
      <c r="U16" s="1199">
        <f t="shared" si="20"/>
        <v>585</v>
      </c>
      <c r="V16" s="1199">
        <f t="shared" si="21"/>
        <v>690</v>
      </c>
      <c r="W16" s="1199">
        <f t="shared" si="22"/>
        <v>780</v>
      </c>
      <c r="X16" s="1200">
        <f t="shared" si="23"/>
        <v>450</v>
      </c>
      <c r="Y16" s="1200">
        <f t="shared" si="24"/>
        <v>540</v>
      </c>
      <c r="Z16" s="1200">
        <f t="shared" si="25"/>
        <v>615</v>
      </c>
    </row>
    <row r="17" spans="1:26">
      <c r="A17" s="1195" t="s">
        <v>53</v>
      </c>
      <c r="B17" s="1196">
        <v>250000</v>
      </c>
      <c r="C17" s="1183">
        <v>215</v>
      </c>
      <c r="D17" s="1183">
        <v>255</v>
      </c>
      <c r="E17" s="1183">
        <v>290</v>
      </c>
      <c r="F17" s="1184">
        <v>170</v>
      </c>
      <c r="G17" s="1184">
        <v>205</v>
      </c>
      <c r="H17" s="1184">
        <v>230</v>
      </c>
      <c r="J17" s="1181" t="str">
        <f t="shared" si="10"/>
        <v>2 X 250</v>
      </c>
      <c r="K17" s="1182">
        <f t="shared" si="11"/>
        <v>500000</v>
      </c>
      <c r="L17" s="1199">
        <f t="shared" si="14"/>
        <v>430</v>
      </c>
      <c r="M17" s="1199">
        <f t="shared" si="15"/>
        <v>510</v>
      </c>
      <c r="N17" s="1199">
        <f t="shared" si="16"/>
        <v>580</v>
      </c>
      <c r="O17" s="1200">
        <f t="shared" si="17"/>
        <v>340</v>
      </c>
      <c r="P17" s="1200">
        <f t="shared" si="18"/>
        <v>410</v>
      </c>
      <c r="Q17" s="1200">
        <f t="shared" si="19"/>
        <v>460</v>
      </c>
      <c r="S17" s="1181" t="str">
        <f t="shared" si="12"/>
        <v>3 X 250</v>
      </c>
      <c r="T17" s="1182">
        <f t="shared" si="13"/>
        <v>750000</v>
      </c>
      <c r="U17" s="1199">
        <f t="shared" si="20"/>
        <v>645</v>
      </c>
      <c r="V17" s="1199">
        <f t="shared" si="21"/>
        <v>765</v>
      </c>
      <c r="W17" s="1199">
        <f t="shared" si="22"/>
        <v>870</v>
      </c>
      <c r="X17" s="1200">
        <f t="shared" si="23"/>
        <v>510</v>
      </c>
      <c r="Y17" s="1200">
        <f t="shared" si="24"/>
        <v>615</v>
      </c>
      <c r="Z17" s="1200">
        <f t="shared" si="25"/>
        <v>690</v>
      </c>
    </row>
    <row r="18" spans="1:26">
      <c r="A18" s="1195" t="s">
        <v>54</v>
      </c>
      <c r="B18" s="1196">
        <v>300000</v>
      </c>
      <c r="C18" s="1183">
        <v>240</v>
      </c>
      <c r="D18" s="1183">
        <v>285</v>
      </c>
      <c r="E18" s="1183">
        <v>320</v>
      </c>
      <c r="F18" s="1184">
        <v>195</v>
      </c>
      <c r="G18" s="1184">
        <v>230</v>
      </c>
      <c r="H18" s="1184">
        <v>260</v>
      </c>
      <c r="J18" s="1181" t="str">
        <f t="shared" si="10"/>
        <v>2 X 300</v>
      </c>
      <c r="K18" s="1182">
        <f t="shared" si="11"/>
        <v>600000</v>
      </c>
      <c r="L18" s="1199">
        <f t="shared" si="14"/>
        <v>480</v>
      </c>
      <c r="M18" s="1199">
        <f t="shared" si="15"/>
        <v>570</v>
      </c>
      <c r="N18" s="1199">
        <f t="shared" si="16"/>
        <v>640</v>
      </c>
      <c r="O18" s="1200">
        <f t="shared" si="17"/>
        <v>390</v>
      </c>
      <c r="P18" s="1200">
        <f t="shared" si="18"/>
        <v>460</v>
      </c>
      <c r="Q18" s="1200">
        <f t="shared" si="19"/>
        <v>520</v>
      </c>
      <c r="S18" s="1181" t="str">
        <f t="shared" si="12"/>
        <v>3 X 300</v>
      </c>
      <c r="T18" s="1182">
        <f t="shared" si="13"/>
        <v>900000</v>
      </c>
      <c r="U18" s="1199">
        <f t="shared" si="20"/>
        <v>720</v>
      </c>
      <c r="V18" s="1199">
        <f t="shared" si="21"/>
        <v>855</v>
      </c>
      <c r="W18" s="1199">
        <f t="shared" si="22"/>
        <v>960</v>
      </c>
      <c r="X18" s="1200">
        <f t="shared" si="23"/>
        <v>585</v>
      </c>
      <c r="Y18" s="1200">
        <f t="shared" si="24"/>
        <v>690</v>
      </c>
      <c r="Z18" s="1200">
        <f t="shared" si="25"/>
        <v>780</v>
      </c>
    </row>
    <row r="19" spans="1:26">
      <c r="A19" s="1195" t="s">
        <v>55</v>
      </c>
      <c r="B19" s="1196">
        <v>350000</v>
      </c>
      <c r="C19" s="1183">
        <v>260</v>
      </c>
      <c r="D19" s="1183">
        <v>310</v>
      </c>
      <c r="E19" s="1183">
        <v>350</v>
      </c>
      <c r="F19" s="1184">
        <v>210</v>
      </c>
      <c r="G19" s="1184">
        <v>250</v>
      </c>
      <c r="H19" s="1184">
        <v>280</v>
      </c>
      <c r="J19" s="1181" t="str">
        <f t="shared" si="10"/>
        <v>2 X 350</v>
      </c>
      <c r="K19" s="1182">
        <f t="shared" si="11"/>
        <v>700000</v>
      </c>
      <c r="L19" s="1199">
        <f t="shared" si="14"/>
        <v>520</v>
      </c>
      <c r="M19" s="1199">
        <f t="shared" si="15"/>
        <v>620</v>
      </c>
      <c r="N19" s="1199">
        <f t="shared" si="16"/>
        <v>700</v>
      </c>
      <c r="O19" s="1200">
        <f t="shared" si="17"/>
        <v>420</v>
      </c>
      <c r="P19" s="1200">
        <f t="shared" si="18"/>
        <v>500</v>
      </c>
      <c r="Q19" s="1200">
        <f t="shared" si="19"/>
        <v>560</v>
      </c>
      <c r="S19" s="1181" t="str">
        <f t="shared" si="12"/>
        <v>3 X 350</v>
      </c>
      <c r="T19" s="1182">
        <f t="shared" si="13"/>
        <v>1050000</v>
      </c>
      <c r="U19" s="1199">
        <f t="shared" si="20"/>
        <v>780</v>
      </c>
      <c r="V19" s="1199">
        <f t="shared" si="21"/>
        <v>930</v>
      </c>
      <c r="W19" s="1199">
        <f t="shared" si="22"/>
        <v>1050</v>
      </c>
      <c r="X19" s="1200">
        <f t="shared" si="23"/>
        <v>630</v>
      </c>
      <c r="Y19" s="1200">
        <f t="shared" si="24"/>
        <v>750</v>
      </c>
      <c r="Z19" s="1200">
        <f t="shared" si="25"/>
        <v>840</v>
      </c>
    </row>
    <row r="20" spans="1:26">
      <c r="A20" s="1195" t="s">
        <v>56</v>
      </c>
      <c r="B20" s="1196">
        <v>400000</v>
      </c>
      <c r="C20" s="1183">
        <v>280</v>
      </c>
      <c r="D20" s="1183">
        <v>335</v>
      </c>
      <c r="E20" s="1183">
        <v>380</v>
      </c>
      <c r="F20" s="1184">
        <v>225</v>
      </c>
      <c r="G20" s="1184">
        <v>270</v>
      </c>
      <c r="H20" s="1184">
        <v>305</v>
      </c>
      <c r="J20" s="1181" t="str">
        <f t="shared" si="10"/>
        <v>2 X 400</v>
      </c>
      <c r="K20" s="1182">
        <f t="shared" si="11"/>
        <v>800000</v>
      </c>
      <c r="L20" s="1199">
        <f t="shared" si="14"/>
        <v>560</v>
      </c>
      <c r="M20" s="1199">
        <f t="shared" si="15"/>
        <v>670</v>
      </c>
      <c r="N20" s="1199">
        <f t="shared" si="16"/>
        <v>760</v>
      </c>
      <c r="O20" s="1200">
        <f t="shared" si="17"/>
        <v>450</v>
      </c>
      <c r="P20" s="1200">
        <f t="shared" si="18"/>
        <v>540</v>
      </c>
      <c r="Q20" s="1200">
        <f t="shared" si="19"/>
        <v>610</v>
      </c>
      <c r="S20" s="1181" t="str">
        <f t="shared" si="12"/>
        <v>3 X 400</v>
      </c>
      <c r="T20" s="1182">
        <f t="shared" si="13"/>
        <v>1200000</v>
      </c>
      <c r="U20" s="1199">
        <f t="shared" si="20"/>
        <v>840</v>
      </c>
      <c r="V20" s="1199">
        <f t="shared" si="21"/>
        <v>1005</v>
      </c>
      <c r="W20" s="1199">
        <f t="shared" si="22"/>
        <v>1140</v>
      </c>
      <c r="X20" s="1200">
        <f t="shared" si="23"/>
        <v>675</v>
      </c>
      <c r="Y20" s="1200">
        <f t="shared" si="24"/>
        <v>810</v>
      </c>
      <c r="Z20" s="1200">
        <f t="shared" si="25"/>
        <v>915</v>
      </c>
    </row>
    <row r="21" spans="1:26">
      <c r="A21" s="1195" t="s">
        <v>57</v>
      </c>
      <c r="B21" s="1196">
        <v>500000</v>
      </c>
      <c r="C21" s="1183">
        <v>320</v>
      </c>
      <c r="D21" s="1183">
        <v>380</v>
      </c>
      <c r="E21" s="1183">
        <v>430</v>
      </c>
      <c r="F21" s="1184">
        <v>260</v>
      </c>
      <c r="G21" s="1184">
        <v>310</v>
      </c>
      <c r="H21" s="1184">
        <v>350</v>
      </c>
      <c r="J21" s="1181" t="str">
        <f t="shared" si="10"/>
        <v>2 X 500</v>
      </c>
      <c r="K21" s="1182">
        <f t="shared" si="11"/>
        <v>1000000</v>
      </c>
      <c r="L21" s="1199">
        <f t="shared" si="14"/>
        <v>640</v>
      </c>
      <c r="M21" s="1199">
        <f t="shared" si="15"/>
        <v>760</v>
      </c>
      <c r="N21" s="1199">
        <f t="shared" si="16"/>
        <v>860</v>
      </c>
      <c r="O21" s="1200">
        <f t="shared" si="17"/>
        <v>520</v>
      </c>
      <c r="P21" s="1200">
        <f t="shared" si="18"/>
        <v>620</v>
      </c>
      <c r="Q21" s="1200">
        <f t="shared" si="19"/>
        <v>700</v>
      </c>
      <c r="S21" s="1181" t="str">
        <f t="shared" si="12"/>
        <v>3 X 500</v>
      </c>
      <c r="T21" s="1182">
        <f t="shared" si="13"/>
        <v>1500000</v>
      </c>
      <c r="U21" s="1199">
        <f t="shared" si="20"/>
        <v>960</v>
      </c>
      <c r="V21" s="1199">
        <f t="shared" si="21"/>
        <v>1140</v>
      </c>
      <c r="W21" s="1199">
        <f t="shared" si="22"/>
        <v>1290</v>
      </c>
      <c r="X21" s="1200">
        <f t="shared" si="23"/>
        <v>780</v>
      </c>
      <c r="Y21" s="1200">
        <f t="shared" si="24"/>
        <v>930</v>
      </c>
      <c r="Z21" s="1200">
        <f t="shared" si="25"/>
        <v>1050</v>
      </c>
    </row>
    <row r="22" spans="1:26">
      <c r="A22" s="1195" t="s">
        <v>58</v>
      </c>
      <c r="B22" s="1196">
        <v>600000</v>
      </c>
      <c r="C22" s="1183">
        <v>350</v>
      </c>
      <c r="D22" s="1183">
        <v>420</v>
      </c>
      <c r="E22" s="1183">
        <v>475</v>
      </c>
      <c r="F22" s="1184">
        <v>285</v>
      </c>
      <c r="G22" s="1184">
        <v>340</v>
      </c>
      <c r="H22" s="1184">
        <v>385</v>
      </c>
      <c r="J22" s="1181" t="str">
        <f t="shared" si="10"/>
        <v>2 X 600</v>
      </c>
      <c r="K22" s="1182">
        <f t="shared" si="11"/>
        <v>1200000</v>
      </c>
      <c r="L22" s="1199">
        <f t="shared" si="14"/>
        <v>700</v>
      </c>
      <c r="M22" s="1199">
        <f t="shared" si="15"/>
        <v>840</v>
      </c>
      <c r="N22" s="1199">
        <f t="shared" si="16"/>
        <v>950</v>
      </c>
      <c r="O22" s="1200">
        <f t="shared" si="17"/>
        <v>570</v>
      </c>
      <c r="P22" s="1200">
        <f t="shared" si="18"/>
        <v>680</v>
      </c>
      <c r="Q22" s="1200">
        <f t="shared" si="19"/>
        <v>770</v>
      </c>
      <c r="S22" s="1181" t="str">
        <f t="shared" si="12"/>
        <v>3 X 600</v>
      </c>
      <c r="T22" s="1182">
        <f t="shared" si="13"/>
        <v>1800000</v>
      </c>
      <c r="U22" s="1199">
        <f t="shared" si="20"/>
        <v>1050</v>
      </c>
      <c r="V22" s="1199">
        <f t="shared" si="21"/>
        <v>1260</v>
      </c>
      <c r="W22" s="1199">
        <f t="shared" si="22"/>
        <v>1425</v>
      </c>
      <c r="X22" s="1200">
        <f t="shared" si="23"/>
        <v>855</v>
      </c>
      <c r="Y22" s="1200">
        <f t="shared" si="24"/>
        <v>1020</v>
      </c>
      <c r="Z22" s="1200">
        <f t="shared" si="25"/>
        <v>1155</v>
      </c>
    </row>
    <row r="23" spans="1:26">
      <c r="A23" s="1195" t="s">
        <v>59</v>
      </c>
      <c r="B23" s="1196">
        <v>700000</v>
      </c>
      <c r="C23" s="1183">
        <v>385</v>
      </c>
      <c r="D23" s="1183">
        <v>460</v>
      </c>
      <c r="E23" s="1183">
        <v>520</v>
      </c>
      <c r="F23" s="1184">
        <v>315</v>
      </c>
      <c r="G23" s="1184">
        <v>375</v>
      </c>
      <c r="H23" s="1184">
        <v>425</v>
      </c>
      <c r="J23" s="1181" t="str">
        <f t="shared" si="10"/>
        <v>2 X 700</v>
      </c>
      <c r="K23" s="1182">
        <f t="shared" si="11"/>
        <v>1400000</v>
      </c>
      <c r="L23" s="1199">
        <f t="shared" si="14"/>
        <v>770</v>
      </c>
      <c r="M23" s="1199">
        <f t="shared" si="15"/>
        <v>920</v>
      </c>
      <c r="N23" s="1199">
        <f t="shared" si="16"/>
        <v>1040</v>
      </c>
      <c r="O23" s="1200">
        <f t="shared" si="17"/>
        <v>630</v>
      </c>
      <c r="P23" s="1200">
        <f t="shared" si="18"/>
        <v>750</v>
      </c>
      <c r="Q23" s="1200">
        <f t="shared" si="19"/>
        <v>850</v>
      </c>
      <c r="S23" s="1201" t="str">
        <f t="shared" si="12"/>
        <v>3 X 700</v>
      </c>
      <c r="T23" s="1202">
        <f t="shared" si="13"/>
        <v>2100000</v>
      </c>
      <c r="U23" s="1203">
        <f t="shared" si="20"/>
        <v>1155</v>
      </c>
      <c r="V23" s="1203">
        <f t="shared" si="21"/>
        <v>1380</v>
      </c>
      <c r="W23" s="1203">
        <f t="shared" si="22"/>
        <v>1560</v>
      </c>
      <c r="X23" s="1204">
        <f t="shared" si="23"/>
        <v>945</v>
      </c>
      <c r="Y23" s="1204">
        <f t="shared" si="24"/>
        <v>1125</v>
      </c>
      <c r="Z23" s="1204">
        <f t="shared" si="25"/>
        <v>1275</v>
      </c>
    </row>
    <row r="24" spans="1:26">
      <c r="A24" s="1195" t="s">
        <v>60</v>
      </c>
      <c r="B24" s="1196">
        <v>750000</v>
      </c>
      <c r="C24" s="1183">
        <v>400</v>
      </c>
      <c r="D24" s="1183">
        <v>475</v>
      </c>
      <c r="E24" s="1183">
        <v>535</v>
      </c>
      <c r="F24" s="1184">
        <v>320</v>
      </c>
      <c r="G24" s="1184">
        <v>385</v>
      </c>
      <c r="H24" s="1184">
        <v>435</v>
      </c>
      <c r="J24" s="1181" t="str">
        <f t="shared" si="10"/>
        <v>2 X 750</v>
      </c>
      <c r="K24" s="1182">
        <f t="shared" si="11"/>
        <v>1500000</v>
      </c>
      <c r="L24" s="1199">
        <f t="shared" si="14"/>
        <v>800</v>
      </c>
      <c r="M24" s="1199">
        <f t="shared" si="15"/>
        <v>950</v>
      </c>
      <c r="N24" s="1199">
        <f t="shared" si="16"/>
        <v>1070</v>
      </c>
      <c r="O24" s="1200">
        <f t="shared" si="17"/>
        <v>640</v>
      </c>
      <c r="P24" s="1200">
        <f t="shared" si="18"/>
        <v>770</v>
      </c>
      <c r="Q24" s="1200">
        <f t="shared" si="19"/>
        <v>870</v>
      </c>
      <c r="S24" s="1205" t="str">
        <f t="shared" si="12"/>
        <v>3 X 750</v>
      </c>
      <c r="T24" s="1206">
        <f t="shared" si="13"/>
        <v>2250000</v>
      </c>
      <c r="U24" s="1199">
        <f t="shared" si="20"/>
        <v>1200</v>
      </c>
      <c r="V24" s="1199">
        <f t="shared" si="21"/>
        <v>1425</v>
      </c>
      <c r="W24" s="1199">
        <f t="shared" si="22"/>
        <v>1605</v>
      </c>
      <c r="X24" s="1200">
        <f t="shared" si="23"/>
        <v>960</v>
      </c>
      <c r="Y24" s="1200">
        <f t="shared" si="24"/>
        <v>1155</v>
      </c>
      <c r="Z24" s="1200">
        <f t="shared" si="25"/>
        <v>1305</v>
      </c>
    </row>
    <row r="25" spans="1:26">
      <c r="A25" s="1205">
        <v>800</v>
      </c>
      <c r="B25" s="1206">
        <v>800000</v>
      </c>
      <c r="C25" s="1183">
        <v>410</v>
      </c>
      <c r="D25" s="1183">
        <v>490</v>
      </c>
      <c r="E25" s="1183">
        <v>555</v>
      </c>
      <c r="F25" s="1184">
        <v>330</v>
      </c>
      <c r="G25" s="1184">
        <v>395</v>
      </c>
      <c r="H25" s="1184">
        <v>445</v>
      </c>
      <c r="J25" s="1181" t="str">
        <f t="shared" si="10"/>
        <v>2 X 800</v>
      </c>
      <c r="K25" s="1182">
        <f t="shared" si="11"/>
        <v>1600000</v>
      </c>
      <c r="L25" s="1199">
        <f t="shared" si="14"/>
        <v>820</v>
      </c>
      <c r="M25" s="1199">
        <f t="shared" si="15"/>
        <v>980</v>
      </c>
      <c r="N25" s="1199">
        <f t="shared" si="16"/>
        <v>1110</v>
      </c>
      <c r="O25" s="1200">
        <f t="shared" si="17"/>
        <v>660</v>
      </c>
      <c r="P25" s="1200">
        <f t="shared" si="18"/>
        <v>790</v>
      </c>
      <c r="Q25" s="1200">
        <f t="shared" si="19"/>
        <v>890</v>
      </c>
      <c r="S25" s="1205" t="str">
        <f t="shared" si="12"/>
        <v>3 X 800</v>
      </c>
      <c r="T25" s="1206">
        <f t="shared" si="13"/>
        <v>2400000</v>
      </c>
      <c r="U25" s="1199">
        <f t="shared" si="20"/>
        <v>1230</v>
      </c>
      <c r="V25" s="1199">
        <f t="shared" si="21"/>
        <v>1470</v>
      </c>
      <c r="W25" s="1199">
        <f t="shared" si="22"/>
        <v>1665</v>
      </c>
      <c r="X25" s="1200">
        <f t="shared" si="23"/>
        <v>990</v>
      </c>
      <c r="Y25" s="1200">
        <f t="shared" si="24"/>
        <v>1185</v>
      </c>
      <c r="Z25" s="1200">
        <f t="shared" si="25"/>
        <v>1335</v>
      </c>
    </row>
    <row r="26" spans="1:26">
      <c r="A26" s="1205">
        <v>900</v>
      </c>
      <c r="B26" s="1206">
        <v>900000</v>
      </c>
      <c r="C26" s="1183">
        <v>435</v>
      </c>
      <c r="D26" s="1183">
        <v>520</v>
      </c>
      <c r="E26" s="1183">
        <v>585</v>
      </c>
      <c r="F26" s="1184">
        <v>355</v>
      </c>
      <c r="G26" s="1184">
        <v>425</v>
      </c>
      <c r="H26" s="1184">
        <v>480</v>
      </c>
      <c r="J26" s="1181" t="str">
        <f t="shared" si="10"/>
        <v>2 X 900</v>
      </c>
      <c r="K26" s="1182">
        <f t="shared" si="11"/>
        <v>1800000</v>
      </c>
      <c r="L26" s="1199">
        <f t="shared" si="14"/>
        <v>870</v>
      </c>
      <c r="M26" s="1199">
        <f t="shared" si="15"/>
        <v>1040</v>
      </c>
      <c r="N26" s="1199">
        <f t="shared" si="16"/>
        <v>1170</v>
      </c>
      <c r="O26" s="1200">
        <f t="shared" si="17"/>
        <v>710</v>
      </c>
      <c r="P26" s="1200">
        <f t="shared" si="18"/>
        <v>850</v>
      </c>
      <c r="Q26" s="1200">
        <f t="shared" si="19"/>
        <v>960</v>
      </c>
      <c r="S26" s="1205" t="str">
        <f t="shared" si="12"/>
        <v>3 X 900</v>
      </c>
      <c r="T26" s="1206">
        <f t="shared" si="13"/>
        <v>2700000</v>
      </c>
      <c r="U26" s="1199">
        <f t="shared" si="20"/>
        <v>1305</v>
      </c>
      <c r="V26" s="1199">
        <f t="shared" si="21"/>
        <v>1560</v>
      </c>
      <c r="W26" s="1199">
        <f t="shared" si="22"/>
        <v>1755</v>
      </c>
      <c r="X26" s="1200">
        <f t="shared" si="23"/>
        <v>1065</v>
      </c>
      <c r="Y26" s="1200">
        <f t="shared" si="24"/>
        <v>1275</v>
      </c>
      <c r="Z26" s="1200">
        <f t="shared" si="25"/>
        <v>1440</v>
      </c>
    </row>
    <row r="27" spans="1:26">
      <c r="A27" s="1205">
        <v>1000</v>
      </c>
      <c r="B27" s="1206">
        <v>1000000</v>
      </c>
      <c r="C27" s="1183">
        <v>455</v>
      </c>
      <c r="D27" s="1183">
        <v>545</v>
      </c>
      <c r="E27" s="1183">
        <v>615</v>
      </c>
      <c r="F27" s="1184">
        <v>375</v>
      </c>
      <c r="G27" s="1184">
        <v>445</v>
      </c>
      <c r="H27" s="1184">
        <v>500</v>
      </c>
      <c r="J27" s="1181" t="str">
        <f t="shared" si="10"/>
        <v>2 X 1000</v>
      </c>
      <c r="K27" s="1182">
        <f t="shared" si="11"/>
        <v>2000000</v>
      </c>
      <c r="L27" s="1199">
        <f t="shared" si="14"/>
        <v>910</v>
      </c>
      <c r="M27" s="1199">
        <f t="shared" si="15"/>
        <v>1090</v>
      </c>
      <c r="N27" s="1199">
        <f t="shared" si="16"/>
        <v>1230</v>
      </c>
      <c r="O27" s="1200">
        <f t="shared" si="17"/>
        <v>750</v>
      </c>
      <c r="P27" s="1200">
        <f t="shared" si="18"/>
        <v>890</v>
      </c>
      <c r="Q27" s="1200">
        <f t="shared" si="19"/>
        <v>1000</v>
      </c>
      <c r="S27" s="1205" t="str">
        <f t="shared" si="12"/>
        <v>3 X 1000</v>
      </c>
      <c r="T27" s="1206">
        <f t="shared" si="13"/>
        <v>3000000</v>
      </c>
      <c r="U27" s="1199">
        <f t="shared" si="20"/>
        <v>1365</v>
      </c>
      <c r="V27" s="1199">
        <f t="shared" si="21"/>
        <v>1635</v>
      </c>
      <c r="W27" s="1199">
        <f t="shared" si="22"/>
        <v>1845</v>
      </c>
      <c r="X27" s="1200">
        <f t="shared" si="23"/>
        <v>1125</v>
      </c>
      <c r="Y27" s="1200">
        <f t="shared" si="24"/>
        <v>1335</v>
      </c>
      <c r="Z27" s="1200">
        <f t="shared" si="25"/>
        <v>1500</v>
      </c>
    </row>
    <row r="28" spans="1:26">
      <c r="A28" s="1205">
        <v>1250</v>
      </c>
      <c r="B28" s="1206">
        <v>1250000</v>
      </c>
      <c r="C28" s="1183">
        <v>495</v>
      </c>
      <c r="D28" s="1183">
        <v>590</v>
      </c>
      <c r="E28" s="1183">
        <v>665</v>
      </c>
      <c r="F28" s="1184">
        <v>405</v>
      </c>
      <c r="G28" s="1184">
        <v>485</v>
      </c>
      <c r="H28" s="1184">
        <v>545</v>
      </c>
      <c r="J28" s="1181" t="str">
        <f t="shared" si="10"/>
        <v>2 X 1250</v>
      </c>
      <c r="K28" s="1182">
        <f t="shared" si="11"/>
        <v>2500000</v>
      </c>
      <c r="L28" s="1199">
        <f t="shared" si="14"/>
        <v>990</v>
      </c>
      <c r="M28" s="1199">
        <f t="shared" si="15"/>
        <v>1180</v>
      </c>
      <c r="N28" s="1199">
        <f t="shared" si="16"/>
        <v>1330</v>
      </c>
      <c r="O28" s="1200">
        <f t="shared" si="17"/>
        <v>810</v>
      </c>
      <c r="P28" s="1200">
        <f t="shared" si="18"/>
        <v>970</v>
      </c>
      <c r="Q28" s="1200">
        <f t="shared" si="19"/>
        <v>1090</v>
      </c>
      <c r="S28" s="1205" t="str">
        <f t="shared" si="12"/>
        <v>3 X 1250</v>
      </c>
      <c r="T28" s="1206">
        <f t="shared" si="13"/>
        <v>3750000</v>
      </c>
      <c r="U28" s="1199">
        <f t="shared" si="20"/>
        <v>1485</v>
      </c>
      <c r="V28" s="1199">
        <f t="shared" si="21"/>
        <v>1770</v>
      </c>
      <c r="W28" s="1199">
        <f t="shared" si="22"/>
        <v>1995</v>
      </c>
      <c r="X28" s="1200">
        <f t="shared" si="23"/>
        <v>1215</v>
      </c>
      <c r="Y28" s="1200">
        <f t="shared" si="24"/>
        <v>1455</v>
      </c>
      <c r="Z28" s="1200">
        <f t="shared" si="25"/>
        <v>1635</v>
      </c>
    </row>
    <row r="29" spans="1:26">
      <c r="A29" s="1205">
        <v>1500</v>
      </c>
      <c r="B29" s="1206">
        <v>1500000</v>
      </c>
      <c r="C29" s="1183">
        <v>525</v>
      </c>
      <c r="D29" s="1183">
        <v>625</v>
      </c>
      <c r="E29" s="1183">
        <v>705</v>
      </c>
      <c r="F29" s="1184">
        <v>435</v>
      </c>
      <c r="G29" s="1184">
        <v>520</v>
      </c>
      <c r="H29" s="1184">
        <v>585</v>
      </c>
      <c r="J29" s="1181" t="str">
        <f t="shared" si="10"/>
        <v>2 X 1500</v>
      </c>
      <c r="K29" s="1182">
        <f t="shared" si="11"/>
        <v>3000000</v>
      </c>
      <c r="L29" s="1199">
        <f t="shared" si="14"/>
        <v>1050</v>
      </c>
      <c r="M29" s="1199">
        <f t="shared" si="15"/>
        <v>1250</v>
      </c>
      <c r="N29" s="1199">
        <f t="shared" si="16"/>
        <v>1410</v>
      </c>
      <c r="O29" s="1200">
        <f t="shared" si="17"/>
        <v>870</v>
      </c>
      <c r="P29" s="1200">
        <f t="shared" si="18"/>
        <v>1040</v>
      </c>
      <c r="Q29" s="1200">
        <f t="shared" si="19"/>
        <v>1170</v>
      </c>
      <c r="S29" s="1205" t="str">
        <f t="shared" si="12"/>
        <v>3 X 1500</v>
      </c>
      <c r="T29" s="1206">
        <f t="shared" si="13"/>
        <v>4500000</v>
      </c>
      <c r="U29" s="1199">
        <f t="shared" si="20"/>
        <v>1575</v>
      </c>
      <c r="V29" s="1199">
        <f t="shared" si="21"/>
        <v>1875</v>
      </c>
      <c r="W29" s="1199">
        <f t="shared" si="22"/>
        <v>2115</v>
      </c>
      <c r="X29" s="1200">
        <f t="shared" si="23"/>
        <v>1305</v>
      </c>
      <c r="Y29" s="1200">
        <f t="shared" si="24"/>
        <v>1560</v>
      </c>
      <c r="Z29" s="1200">
        <f t="shared" si="25"/>
        <v>1755</v>
      </c>
    </row>
    <row r="30" spans="1:26">
      <c r="A30" s="1205">
        <v>1750</v>
      </c>
      <c r="B30" s="1206">
        <v>1750000</v>
      </c>
      <c r="C30" s="1183">
        <v>545</v>
      </c>
      <c r="D30" s="1183">
        <v>650</v>
      </c>
      <c r="E30" s="1183">
        <v>735</v>
      </c>
      <c r="F30" s="1184">
        <v>455</v>
      </c>
      <c r="G30" s="1184">
        <v>545</v>
      </c>
      <c r="H30" s="1184">
        <v>615</v>
      </c>
      <c r="J30" s="1181" t="str">
        <f t="shared" si="10"/>
        <v>2 X 1750</v>
      </c>
      <c r="K30" s="1182">
        <f t="shared" si="11"/>
        <v>3500000</v>
      </c>
      <c r="L30" s="1199">
        <f t="shared" si="14"/>
        <v>1090</v>
      </c>
      <c r="M30" s="1199">
        <f t="shared" si="15"/>
        <v>1300</v>
      </c>
      <c r="N30" s="1199">
        <f t="shared" si="16"/>
        <v>1470</v>
      </c>
      <c r="O30" s="1200">
        <f t="shared" si="17"/>
        <v>910</v>
      </c>
      <c r="P30" s="1200">
        <f t="shared" si="18"/>
        <v>1090</v>
      </c>
      <c r="Q30" s="1200">
        <f t="shared" si="19"/>
        <v>1230</v>
      </c>
      <c r="S30" s="1205" t="str">
        <f t="shared" si="12"/>
        <v>3 X 1750</v>
      </c>
      <c r="T30" s="1206">
        <f t="shared" si="13"/>
        <v>5250000</v>
      </c>
      <c r="U30" s="1199">
        <f t="shared" si="20"/>
        <v>1635</v>
      </c>
      <c r="V30" s="1199">
        <f t="shared" si="21"/>
        <v>1950</v>
      </c>
      <c r="W30" s="1199">
        <f t="shared" si="22"/>
        <v>2205</v>
      </c>
      <c r="X30" s="1200">
        <f t="shared" si="23"/>
        <v>1365</v>
      </c>
      <c r="Y30" s="1200">
        <f t="shared" si="24"/>
        <v>1635</v>
      </c>
      <c r="Z30" s="1200">
        <f t="shared" si="25"/>
        <v>1845</v>
      </c>
    </row>
    <row r="31" spans="1:26">
      <c r="A31" s="1205">
        <v>2000</v>
      </c>
      <c r="B31" s="1206">
        <v>2000000</v>
      </c>
      <c r="C31" s="1183">
        <v>555</v>
      </c>
      <c r="D31" s="1183">
        <v>665</v>
      </c>
      <c r="E31" s="1183">
        <v>750</v>
      </c>
      <c r="F31" s="1184">
        <v>470</v>
      </c>
      <c r="G31" s="1184">
        <v>560</v>
      </c>
      <c r="H31" s="1184">
        <v>630</v>
      </c>
      <c r="J31" s="1181" t="str">
        <f t="shared" si="10"/>
        <v>2 X 2000</v>
      </c>
      <c r="K31" s="1182">
        <f t="shared" si="11"/>
        <v>4000000</v>
      </c>
      <c r="L31" s="1199">
        <f t="shared" si="14"/>
        <v>1110</v>
      </c>
      <c r="M31" s="1199">
        <f t="shared" si="15"/>
        <v>1330</v>
      </c>
      <c r="N31" s="1199">
        <f t="shared" si="16"/>
        <v>1500</v>
      </c>
      <c r="O31" s="1200">
        <f t="shared" si="17"/>
        <v>940</v>
      </c>
      <c r="P31" s="1200">
        <f t="shared" si="18"/>
        <v>1120</v>
      </c>
      <c r="Q31" s="1200">
        <f t="shared" si="19"/>
        <v>1260</v>
      </c>
      <c r="S31" s="1205" t="str">
        <f t="shared" si="12"/>
        <v>3 X 2000</v>
      </c>
      <c r="T31" s="1206">
        <f t="shared" si="13"/>
        <v>6000000</v>
      </c>
      <c r="U31" s="1199">
        <f t="shared" si="20"/>
        <v>1665</v>
      </c>
      <c r="V31" s="1199">
        <f t="shared" si="21"/>
        <v>1995</v>
      </c>
      <c r="W31" s="1199">
        <f t="shared" si="22"/>
        <v>2250</v>
      </c>
      <c r="X31" s="1200">
        <f t="shared" si="23"/>
        <v>1410</v>
      </c>
      <c r="Y31" s="1200">
        <f t="shared" si="24"/>
        <v>1680</v>
      </c>
      <c r="Z31" s="1200">
        <f t="shared" si="25"/>
        <v>1890</v>
      </c>
    </row>
    <row r="33" spans="1:26">
      <c r="A33" s="1194" t="str">
        <f>CONCATENATE("4 X ",A11)</f>
        <v>4 X 2</v>
      </c>
      <c r="B33" s="1194">
        <f>B11*4</f>
        <v>265440</v>
      </c>
      <c r="C33" s="1181" t="s">
        <v>1360</v>
      </c>
      <c r="D33" s="1181" t="s">
        <v>1360</v>
      </c>
      <c r="E33" s="1181" t="s">
        <v>1360</v>
      </c>
      <c r="F33" s="1181" t="s">
        <v>1360</v>
      </c>
      <c r="G33" s="1181" t="s">
        <v>1360</v>
      </c>
      <c r="H33" s="1181" t="s">
        <v>1360</v>
      </c>
      <c r="J33" s="1194" t="str">
        <f>CONCATENATE("5 X ",A11)</f>
        <v>5 X 2</v>
      </c>
      <c r="K33" s="1194">
        <f>5*B11</f>
        <v>331800</v>
      </c>
      <c r="L33" s="1181" t="s">
        <v>1361</v>
      </c>
      <c r="M33" s="1181" t="s">
        <v>1361</v>
      </c>
      <c r="N33" s="1181" t="s">
        <v>1361</v>
      </c>
      <c r="O33" s="1181" t="s">
        <v>1361</v>
      </c>
      <c r="P33" s="1181" t="s">
        <v>1361</v>
      </c>
      <c r="Q33" s="1181" t="s">
        <v>1361</v>
      </c>
      <c r="S33" s="1194" t="str">
        <f>CONCATENATE("6 X ",A11)</f>
        <v>6 X 2</v>
      </c>
      <c r="T33" s="1194">
        <f>6*B11</f>
        <v>398160</v>
      </c>
      <c r="U33" s="1181" t="s">
        <v>1362</v>
      </c>
      <c r="V33" s="1181" t="s">
        <v>1362</v>
      </c>
      <c r="W33" s="1181" t="s">
        <v>1362</v>
      </c>
      <c r="X33" s="1181" t="s">
        <v>1362</v>
      </c>
      <c r="Y33" s="1181" t="s">
        <v>1362</v>
      </c>
      <c r="Z33" s="1181" t="s">
        <v>1362</v>
      </c>
    </row>
    <row r="34" spans="1:26">
      <c r="A34" s="1181" t="s">
        <v>4</v>
      </c>
      <c r="B34" s="1182" t="s">
        <v>42</v>
      </c>
      <c r="C34" s="1197" t="s">
        <v>636</v>
      </c>
      <c r="D34" s="1197" t="s">
        <v>637</v>
      </c>
      <c r="E34" s="1197" t="s">
        <v>643</v>
      </c>
      <c r="F34" s="1198" t="s">
        <v>636</v>
      </c>
      <c r="G34" s="1198" t="s">
        <v>637</v>
      </c>
      <c r="H34" s="1198" t="s">
        <v>643</v>
      </c>
      <c r="J34" s="1181" t="s">
        <v>4</v>
      </c>
      <c r="K34" s="1182" t="s">
        <v>42</v>
      </c>
      <c r="L34" s="1197" t="s">
        <v>636</v>
      </c>
      <c r="M34" s="1197" t="s">
        <v>637</v>
      </c>
      <c r="N34" s="1197" t="s">
        <v>643</v>
      </c>
      <c r="O34" s="1198" t="s">
        <v>636</v>
      </c>
      <c r="P34" s="1198" t="s">
        <v>637</v>
      </c>
      <c r="Q34" s="1198" t="s">
        <v>643</v>
      </c>
      <c r="S34" s="1181" t="s">
        <v>4</v>
      </c>
      <c r="T34" s="1182" t="s">
        <v>42</v>
      </c>
      <c r="U34" s="1197" t="s">
        <v>636</v>
      </c>
      <c r="V34" s="1197" t="s">
        <v>637</v>
      </c>
      <c r="W34" s="1197" t="s">
        <v>643</v>
      </c>
      <c r="X34" s="1198" t="s">
        <v>636</v>
      </c>
      <c r="Y34" s="1198" t="s">
        <v>637</v>
      </c>
      <c r="Z34" s="1198" t="s">
        <v>643</v>
      </c>
    </row>
    <row r="35" spans="1:26">
      <c r="A35" s="1181" t="str">
        <f t="shared" ref="A35:A53" si="26">CONCATENATE("4 X ",A13)</f>
        <v>4 X 1/O</v>
      </c>
      <c r="B35" s="1182">
        <f t="shared" ref="B35:B53" si="27">B13*4</f>
        <v>422400</v>
      </c>
      <c r="C35" s="1199">
        <f t="shared" ref="C35:C53" si="28">$C13*4</f>
        <v>500</v>
      </c>
      <c r="D35" s="1199">
        <f t="shared" ref="D35:D53" si="29">$D13*4</f>
        <v>600</v>
      </c>
      <c r="E35" s="1199">
        <f t="shared" ref="E35:E53" si="30">$E13*4</f>
        <v>680</v>
      </c>
      <c r="F35" s="1200">
        <f t="shared" ref="F35:F53" si="31">$F13*4</f>
        <v>400</v>
      </c>
      <c r="G35" s="1200">
        <f t="shared" ref="G35:G53" si="32">$G13*4</f>
        <v>480</v>
      </c>
      <c r="H35" s="1200">
        <f t="shared" ref="H35:H53" si="33">$H13*4</f>
        <v>540</v>
      </c>
      <c r="J35" s="1181" t="str">
        <f t="shared" ref="J35:J53" si="34">CONCATENATE("5 X ",A13)</f>
        <v>5 X 1/O</v>
      </c>
      <c r="K35" s="1182">
        <f t="shared" ref="K35:K53" si="35">5*B13</f>
        <v>528000</v>
      </c>
      <c r="L35" s="1199">
        <f t="shared" ref="L35:L53" si="36">$C13*5</f>
        <v>625</v>
      </c>
      <c r="M35" s="1199">
        <f t="shared" ref="M35:M53" si="37">$D13*5</f>
        <v>750</v>
      </c>
      <c r="N35" s="1199">
        <f t="shared" ref="N35:N53" si="38">$E13*5</f>
        <v>850</v>
      </c>
      <c r="O35" s="1200">
        <f t="shared" ref="O35:O53" si="39">$F13*5</f>
        <v>500</v>
      </c>
      <c r="P35" s="1200">
        <f t="shared" ref="P35:P53" si="40">$G13*5</f>
        <v>600</v>
      </c>
      <c r="Q35" s="1200">
        <f t="shared" ref="Q35:Q53" si="41">$H13*5</f>
        <v>675</v>
      </c>
      <c r="S35" s="1181" t="str">
        <f t="shared" ref="S35:S53" si="42">CONCATENATE("6 X ",A13)</f>
        <v>6 X 1/O</v>
      </c>
      <c r="T35" s="1182">
        <f t="shared" ref="T35:T53" si="43">6*B13</f>
        <v>633600</v>
      </c>
      <c r="U35" s="1199">
        <f t="shared" ref="U35:U53" si="44">$C13*6</f>
        <v>750</v>
      </c>
      <c r="V35" s="1199">
        <f t="shared" ref="V35:V53" si="45">$D13*6</f>
        <v>900</v>
      </c>
      <c r="W35" s="1199">
        <f t="shared" ref="W35:W53" si="46">$E13*6</f>
        <v>1020</v>
      </c>
      <c r="X35" s="1200">
        <f t="shared" ref="X35:X53" si="47">$F13*6</f>
        <v>600</v>
      </c>
      <c r="Y35" s="1200">
        <f t="shared" ref="Y35:Y53" si="48">$G13*6</f>
        <v>720</v>
      </c>
      <c r="Z35" s="1200">
        <f t="shared" ref="Z35:Z53" si="49">$H13*6</f>
        <v>810</v>
      </c>
    </row>
    <row r="36" spans="1:26">
      <c r="A36" s="1181" t="str">
        <f t="shared" si="26"/>
        <v>4 X 2/O</v>
      </c>
      <c r="B36" s="1182">
        <f t="shared" si="27"/>
        <v>532400</v>
      </c>
      <c r="C36" s="1199">
        <f t="shared" si="28"/>
        <v>580</v>
      </c>
      <c r="D36" s="1199">
        <f t="shared" si="29"/>
        <v>700</v>
      </c>
      <c r="E36" s="1199">
        <f t="shared" si="30"/>
        <v>780</v>
      </c>
      <c r="F36" s="1200">
        <f t="shared" si="31"/>
        <v>460</v>
      </c>
      <c r="G36" s="1200">
        <f t="shared" si="32"/>
        <v>540</v>
      </c>
      <c r="H36" s="1200">
        <f t="shared" si="33"/>
        <v>600</v>
      </c>
      <c r="J36" s="1181" t="str">
        <f t="shared" si="34"/>
        <v>5 X 2/O</v>
      </c>
      <c r="K36" s="1182">
        <f t="shared" si="35"/>
        <v>665500</v>
      </c>
      <c r="L36" s="1199">
        <f t="shared" si="36"/>
        <v>725</v>
      </c>
      <c r="M36" s="1199">
        <f t="shared" si="37"/>
        <v>875</v>
      </c>
      <c r="N36" s="1199">
        <f t="shared" si="38"/>
        <v>975</v>
      </c>
      <c r="O36" s="1200">
        <f t="shared" si="39"/>
        <v>575</v>
      </c>
      <c r="P36" s="1200">
        <f t="shared" si="40"/>
        <v>675</v>
      </c>
      <c r="Q36" s="1200">
        <f t="shared" si="41"/>
        <v>750</v>
      </c>
      <c r="S36" s="1181" t="str">
        <f t="shared" si="42"/>
        <v>6 X 2/O</v>
      </c>
      <c r="T36" s="1182">
        <f t="shared" si="43"/>
        <v>798600</v>
      </c>
      <c r="U36" s="1199">
        <f t="shared" si="44"/>
        <v>870</v>
      </c>
      <c r="V36" s="1199">
        <f t="shared" si="45"/>
        <v>1050</v>
      </c>
      <c r="W36" s="1199">
        <f t="shared" si="46"/>
        <v>1170</v>
      </c>
      <c r="X36" s="1200">
        <f t="shared" si="47"/>
        <v>690</v>
      </c>
      <c r="Y36" s="1200">
        <f t="shared" si="48"/>
        <v>810</v>
      </c>
      <c r="Z36" s="1200">
        <f t="shared" si="49"/>
        <v>900</v>
      </c>
    </row>
    <row r="37" spans="1:26">
      <c r="A37" s="1181" t="str">
        <f t="shared" si="26"/>
        <v>4 X 3/O</v>
      </c>
      <c r="B37" s="1182">
        <f t="shared" si="27"/>
        <v>671200</v>
      </c>
      <c r="C37" s="1199">
        <f t="shared" si="28"/>
        <v>660</v>
      </c>
      <c r="D37" s="1199">
        <f t="shared" si="29"/>
        <v>800</v>
      </c>
      <c r="E37" s="1199">
        <f t="shared" si="30"/>
        <v>900</v>
      </c>
      <c r="F37" s="1200">
        <f t="shared" si="31"/>
        <v>520</v>
      </c>
      <c r="G37" s="1200">
        <f t="shared" si="32"/>
        <v>620</v>
      </c>
      <c r="H37" s="1200">
        <f t="shared" si="33"/>
        <v>700</v>
      </c>
      <c r="J37" s="1181" t="str">
        <f t="shared" si="34"/>
        <v>5 X 3/O</v>
      </c>
      <c r="K37" s="1182">
        <f t="shared" si="35"/>
        <v>839000</v>
      </c>
      <c r="L37" s="1199">
        <f t="shared" si="36"/>
        <v>825</v>
      </c>
      <c r="M37" s="1199">
        <f t="shared" si="37"/>
        <v>1000</v>
      </c>
      <c r="N37" s="1199">
        <f t="shared" si="38"/>
        <v>1125</v>
      </c>
      <c r="O37" s="1200">
        <f t="shared" si="39"/>
        <v>650</v>
      </c>
      <c r="P37" s="1200">
        <f t="shared" si="40"/>
        <v>775</v>
      </c>
      <c r="Q37" s="1200">
        <f t="shared" si="41"/>
        <v>875</v>
      </c>
      <c r="S37" s="1181" t="str">
        <f t="shared" si="42"/>
        <v>6 X 3/O</v>
      </c>
      <c r="T37" s="1182">
        <f t="shared" si="43"/>
        <v>1006800</v>
      </c>
      <c r="U37" s="1199">
        <f t="shared" si="44"/>
        <v>990</v>
      </c>
      <c r="V37" s="1199">
        <f t="shared" si="45"/>
        <v>1200</v>
      </c>
      <c r="W37" s="1199">
        <f t="shared" si="46"/>
        <v>1350</v>
      </c>
      <c r="X37" s="1200">
        <f t="shared" si="47"/>
        <v>780</v>
      </c>
      <c r="Y37" s="1200">
        <f t="shared" si="48"/>
        <v>930</v>
      </c>
      <c r="Z37" s="1200">
        <f t="shared" si="49"/>
        <v>1050</v>
      </c>
    </row>
    <row r="38" spans="1:26">
      <c r="A38" s="1181" t="str">
        <f t="shared" si="26"/>
        <v>4 X 4/O</v>
      </c>
      <c r="B38" s="1182">
        <f t="shared" si="27"/>
        <v>846400</v>
      </c>
      <c r="C38" s="1199">
        <f t="shared" si="28"/>
        <v>780</v>
      </c>
      <c r="D38" s="1199">
        <f t="shared" si="29"/>
        <v>920</v>
      </c>
      <c r="E38" s="1199">
        <f t="shared" si="30"/>
        <v>1040</v>
      </c>
      <c r="F38" s="1200">
        <f t="shared" si="31"/>
        <v>600</v>
      </c>
      <c r="G38" s="1200">
        <f t="shared" si="32"/>
        <v>720</v>
      </c>
      <c r="H38" s="1200">
        <f t="shared" si="33"/>
        <v>820</v>
      </c>
      <c r="J38" s="1181" t="str">
        <f t="shared" si="34"/>
        <v>5 X 4/O</v>
      </c>
      <c r="K38" s="1182">
        <f t="shared" si="35"/>
        <v>1058000</v>
      </c>
      <c r="L38" s="1199">
        <f t="shared" si="36"/>
        <v>975</v>
      </c>
      <c r="M38" s="1199">
        <f t="shared" si="37"/>
        <v>1150</v>
      </c>
      <c r="N38" s="1199">
        <f t="shared" si="38"/>
        <v>1300</v>
      </c>
      <c r="O38" s="1200">
        <f t="shared" si="39"/>
        <v>750</v>
      </c>
      <c r="P38" s="1200">
        <f t="shared" si="40"/>
        <v>900</v>
      </c>
      <c r="Q38" s="1200">
        <f t="shared" si="41"/>
        <v>1025</v>
      </c>
      <c r="S38" s="1201" t="str">
        <f t="shared" si="42"/>
        <v>6 X 4/O</v>
      </c>
      <c r="T38" s="1202">
        <f t="shared" si="43"/>
        <v>1269600</v>
      </c>
      <c r="U38" s="1203">
        <f t="shared" si="44"/>
        <v>1170</v>
      </c>
      <c r="V38" s="1203">
        <f t="shared" si="45"/>
        <v>1380</v>
      </c>
      <c r="W38" s="1199">
        <f t="shared" si="46"/>
        <v>1560</v>
      </c>
      <c r="X38" s="1200">
        <f t="shared" si="47"/>
        <v>900</v>
      </c>
      <c r="Y38" s="1200">
        <f t="shared" si="48"/>
        <v>1080</v>
      </c>
      <c r="Z38" s="1200">
        <f t="shared" si="49"/>
        <v>1230</v>
      </c>
    </row>
    <row r="39" spans="1:26">
      <c r="A39" s="1181" t="str">
        <f t="shared" si="26"/>
        <v>4 X 250</v>
      </c>
      <c r="B39" s="1182">
        <f t="shared" si="27"/>
        <v>1000000</v>
      </c>
      <c r="C39" s="1199">
        <f t="shared" si="28"/>
        <v>860</v>
      </c>
      <c r="D39" s="1199">
        <f t="shared" si="29"/>
        <v>1020</v>
      </c>
      <c r="E39" s="1199">
        <f t="shared" si="30"/>
        <v>1160</v>
      </c>
      <c r="F39" s="1200">
        <f t="shared" si="31"/>
        <v>680</v>
      </c>
      <c r="G39" s="1200">
        <f t="shared" si="32"/>
        <v>820</v>
      </c>
      <c r="H39" s="1200">
        <f t="shared" si="33"/>
        <v>920</v>
      </c>
      <c r="J39" s="1181" t="str">
        <f t="shared" si="34"/>
        <v>5 X 250</v>
      </c>
      <c r="K39" s="1182">
        <f t="shared" si="35"/>
        <v>1250000</v>
      </c>
      <c r="L39" s="1199">
        <f t="shared" si="36"/>
        <v>1075</v>
      </c>
      <c r="M39" s="1199">
        <f t="shared" si="37"/>
        <v>1275</v>
      </c>
      <c r="N39" s="1199">
        <f t="shared" si="38"/>
        <v>1450</v>
      </c>
      <c r="O39" s="1200">
        <f t="shared" si="39"/>
        <v>850</v>
      </c>
      <c r="P39" s="1200">
        <f t="shared" si="40"/>
        <v>1025</v>
      </c>
      <c r="Q39" s="1200">
        <f t="shared" si="41"/>
        <v>1150</v>
      </c>
      <c r="S39" s="1205" t="str">
        <f t="shared" si="42"/>
        <v>6 X 250</v>
      </c>
      <c r="T39" s="1206">
        <f t="shared" si="43"/>
        <v>1500000</v>
      </c>
      <c r="U39" s="1199">
        <f t="shared" si="44"/>
        <v>1290</v>
      </c>
      <c r="V39" s="1199">
        <f t="shared" si="45"/>
        <v>1530</v>
      </c>
      <c r="W39" s="1199">
        <f t="shared" si="46"/>
        <v>1740</v>
      </c>
      <c r="X39" s="1200">
        <f t="shared" si="47"/>
        <v>1020</v>
      </c>
      <c r="Y39" s="1200">
        <f t="shared" si="48"/>
        <v>1230</v>
      </c>
      <c r="Z39" s="1200">
        <f t="shared" si="49"/>
        <v>1380</v>
      </c>
    </row>
    <row r="40" spans="1:26">
      <c r="A40" s="1181" t="str">
        <f t="shared" si="26"/>
        <v>4 X 300</v>
      </c>
      <c r="B40" s="1182">
        <f t="shared" si="27"/>
        <v>1200000</v>
      </c>
      <c r="C40" s="1199">
        <f t="shared" si="28"/>
        <v>960</v>
      </c>
      <c r="D40" s="1199">
        <f t="shared" si="29"/>
        <v>1140</v>
      </c>
      <c r="E40" s="1199">
        <f t="shared" si="30"/>
        <v>1280</v>
      </c>
      <c r="F40" s="1200">
        <f t="shared" si="31"/>
        <v>780</v>
      </c>
      <c r="G40" s="1200">
        <f t="shared" si="32"/>
        <v>920</v>
      </c>
      <c r="H40" s="1200">
        <f t="shared" si="33"/>
        <v>1040</v>
      </c>
      <c r="J40" s="1181" t="str">
        <f t="shared" si="34"/>
        <v>5 X 300</v>
      </c>
      <c r="K40" s="1182">
        <f t="shared" si="35"/>
        <v>1500000</v>
      </c>
      <c r="L40" s="1199">
        <f t="shared" si="36"/>
        <v>1200</v>
      </c>
      <c r="M40" s="1199">
        <f t="shared" si="37"/>
        <v>1425</v>
      </c>
      <c r="N40" s="1199">
        <f t="shared" si="38"/>
        <v>1600</v>
      </c>
      <c r="O40" s="1200">
        <f t="shared" si="39"/>
        <v>975</v>
      </c>
      <c r="P40" s="1200">
        <f t="shared" si="40"/>
        <v>1150</v>
      </c>
      <c r="Q40" s="1200">
        <f t="shared" si="41"/>
        <v>1300</v>
      </c>
      <c r="S40" s="1205" t="str">
        <f t="shared" si="42"/>
        <v>6 X 300</v>
      </c>
      <c r="T40" s="1206">
        <f t="shared" si="43"/>
        <v>1800000</v>
      </c>
      <c r="U40" s="1199">
        <f t="shared" si="44"/>
        <v>1440</v>
      </c>
      <c r="V40" s="1199">
        <f t="shared" si="45"/>
        <v>1710</v>
      </c>
      <c r="W40" s="1199">
        <f t="shared" si="46"/>
        <v>1920</v>
      </c>
      <c r="X40" s="1200">
        <f t="shared" si="47"/>
        <v>1170</v>
      </c>
      <c r="Y40" s="1200">
        <f t="shared" si="48"/>
        <v>1380</v>
      </c>
      <c r="Z40" s="1200">
        <f t="shared" si="49"/>
        <v>1560</v>
      </c>
    </row>
    <row r="41" spans="1:26">
      <c r="A41" s="1181" t="str">
        <f t="shared" si="26"/>
        <v>4 X 350</v>
      </c>
      <c r="B41" s="1182">
        <f t="shared" si="27"/>
        <v>1400000</v>
      </c>
      <c r="C41" s="1199">
        <f t="shared" si="28"/>
        <v>1040</v>
      </c>
      <c r="D41" s="1199">
        <f t="shared" si="29"/>
        <v>1240</v>
      </c>
      <c r="E41" s="1199">
        <f t="shared" si="30"/>
        <v>1400</v>
      </c>
      <c r="F41" s="1200">
        <f t="shared" si="31"/>
        <v>840</v>
      </c>
      <c r="G41" s="1200">
        <f t="shared" si="32"/>
        <v>1000</v>
      </c>
      <c r="H41" s="1200">
        <f t="shared" si="33"/>
        <v>1120</v>
      </c>
      <c r="J41" s="1181" t="str">
        <f t="shared" si="34"/>
        <v>5 X 350</v>
      </c>
      <c r="K41" s="1182">
        <f t="shared" si="35"/>
        <v>1750000</v>
      </c>
      <c r="L41" s="1199">
        <f t="shared" si="36"/>
        <v>1300</v>
      </c>
      <c r="M41" s="1199">
        <f t="shared" si="37"/>
        <v>1550</v>
      </c>
      <c r="N41" s="1199">
        <f t="shared" si="38"/>
        <v>1750</v>
      </c>
      <c r="O41" s="1200">
        <f t="shared" si="39"/>
        <v>1050</v>
      </c>
      <c r="P41" s="1200">
        <f t="shared" si="40"/>
        <v>1250</v>
      </c>
      <c r="Q41" s="1200">
        <f t="shared" si="41"/>
        <v>1400</v>
      </c>
      <c r="S41" s="1205" t="str">
        <f t="shared" si="42"/>
        <v>6 X 350</v>
      </c>
      <c r="T41" s="1206">
        <f t="shared" si="43"/>
        <v>2100000</v>
      </c>
      <c r="U41" s="1199">
        <f t="shared" si="44"/>
        <v>1560</v>
      </c>
      <c r="V41" s="1199">
        <f t="shared" si="45"/>
        <v>1860</v>
      </c>
      <c r="W41" s="1199">
        <f t="shared" si="46"/>
        <v>2100</v>
      </c>
      <c r="X41" s="1200">
        <f t="shared" si="47"/>
        <v>1260</v>
      </c>
      <c r="Y41" s="1200">
        <f t="shared" si="48"/>
        <v>1500</v>
      </c>
      <c r="Z41" s="1200">
        <f t="shared" si="49"/>
        <v>1680</v>
      </c>
    </row>
    <row r="42" spans="1:26">
      <c r="A42" s="1181" t="str">
        <f t="shared" si="26"/>
        <v>4 X 400</v>
      </c>
      <c r="B42" s="1182">
        <f t="shared" si="27"/>
        <v>1600000</v>
      </c>
      <c r="C42" s="1199">
        <f t="shared" si="28"/>
        <v>1120</v>
      </c>
      <c r="D42" s="1199">
        <f t="shared" si="29"/>
        <v>1340</v>
      </c>
      <c r="E42" s="1199">
        <f t="shared" si="30"/>
        <v>1520</v>
      </c>
      <c r="F42" s="1200">
        <f t="shared" si="31"/>
        <v>900</v>
      </c>
      <c r="G42" s="1200">
        <f t="shared" si="32"/>
        <v>1080</v>
      </c>
      <c r="H42" s="1200">
        <f t="shared" si="33"/>
        <v>1220</v>
      </c>
      <c r="J42" s="1201" t="str">
        <f t="shared" si="34"/>
        <v>5 X 400</v>
      </c>
      <c r="K42" s="1202">
        <f t="shared" si="35"/>
        <v>2000000</v>
      </c>
      <c r="L42" s="1203">
        <f t="shared" si="36"/>
        <v>1400</v>
      </c>
      <c r="M42" s="1203">
        <f t="shared" si="37"/>
        <v>1675</v>
      </c>
      <c r="N42" s="1203">
        <f t="shared" si="38"/>
        <v>1900</v>
      </c>
      <c r="O42" s="1204">
        <f t="shared" si="39"/>
        <v>1125</v>
      </c>
      <c r="P42" s="1204">
        <f t="shared" si="40"/>
        <v>1350</v>
      </c>
      <c r="Q42" s="1204">
        <f t="shared" si="41"/>
        <v>1525</v>
      </c>
      <c r="S42" s="1205" t="str">
        <f t="shared" si="42"/>
        <v>6 X 400</v>
      </c>
      <c r="T42" s="1206">
        <f t="shared" si="43"/>
        <v>2400000</v>
      </c>
      <c r="U42" s="1199">
        <f t="shared" si="44"/>
        <v>1680</v>
      </c>
      <c r="V42" s="1199">
        <f t="shared" si="45"/>
        <v>2010</v>
      </c>
      <c r="W42" s="1199">
        <f t="shared" si="46"/>
        <v>2280</v>
      </c>
      <c r="X42" s="1200">
        <f t="shared" si="47"/>
        <v>1350</v>
      </c>
      <c r="Y42" s="1200">
        <f t="shared" si="48"/>
        <v>1620</v>
      </c>
      <c r="Z42" s="1200">
        <f t="shared" si="49"/>
        <v>1830</v>
      </c>
    </row>
    <row r="43" spans="1:26">
      <c r="A43" s="1201" t="str">
        <f t="shared" si="26"/>
        <v>4 X 500</v>
      </c>
      <c r="B43" s="1202">
        <f t="shared" si="27"/>
        <v>2000000</v>
      </c>
      <c r="C43" s="1203">
        <f t="shared" si="28"/>
        <v>1280</v>
      </c>
      <c r="D43" s="1203">
        <f t="shared" si="29"/>
        <v>1520</v>
      </c>
      <c r="E43" s="1203">
        <f t="shared" si="30"/>
        <v>1720</v>
      </c>
      <c r="F43" s="1204">
        <f t="shared" si="31"/>
        <v>1040</v>
      </c>
      <c r="G43" s="1204">
        <f t="shared" si="32"/>
        <v>1240</v>
      </c>
      <c r="H43" s="1204">
        <f t="shared" si="33"/>
        <v>1400</v>
      </c>
      <c r="J43" s="1205" t="str">
        <f t="shared" si="34"/>
        <v>5 X 500</v>
      </c>
      <c r="K43" s="1206">
        <f t="shared" si="35"/>
        <v>2500000</v>
      </c>
      <c r="L43" s="1199">
        <f t="shared" si="36"/>
        <v>1600</v>
      </c>
      <c r="M43" s="1199">
        <f t="shared" si="37"/>
        <v>1900</v>
      </c>
      <c r="N43" s="1199">
        <f t="shared" si="38"/>
        <v>2150</v>
      </c>
      <c r="O43" s="1200">
        <f t="shared" si="39"/>
        <v>1300</v>
      </c>
      <c r="P43" s="1200">
        <f t="shared" si="40"/>
        <v>1550</v>
      </c>
      <c r="Q43" s="1200">
        <f t="shared" si="41"/>
        <v>1750</v>
      </c>
      <c r="S43" s="1205" t="str">
        <f t="shared" si="42"/>
        <v>6 X 500</v>
      </c>
      <c r="T43" s="1206">
        <f t="shared" si="43"/>
        <v>3000000</v>
      </c>
      <c r="U43" s="1199">
        <f t="shared" si="44"/>
        <v>1920</v>
      </c>
      <c r="V43" s="1199">
        <f t="shared" si="45"/>
        <v>2280</v>
      </c>
      <c r="W43" s="1199">
        <f t="shared" si="46"/>
        <v>2580</v>
      </c>
      <c r="X43" s="1200">
        <f t="shared" si="47"/>
        <v>1560</v>
      </c>
      <c r="Y43" s="1200">
        <f t="shared" si="48"/>
        <v>1860</v>
      </c>
      <c r="Z43" s="1200">
        <f t="shared" si="49"/>
        <v>2100</v>
      </c>
    </row>
    <row r="44" spans="1:26">
      <c r="A44" s="1205" t="str">
        <f t="shared" si="26"/>
        <v>4 X 600</v>
      </c>
      <c r="B44" s="1206">
        <f t="shared" si="27"/>
        <v>2400000</v>
      </c>
      <c r="C44" s="1199">
        <f t="shared" si="28"/>
        <v>1400</v>
      </c>
      <c r="D44" s="1199">
        <f t="shared" si="29"/>
        <v>1680</v>
      </c>
      <c r="E44" s="1199">
        <f t="shared" si="30"/>
        <v>1900</v>
      </c>
      <c r="F44" s="1200">
        <f t="shared" si="31"/>
        <v>1140</v>
      </c>
      <c r="G44" s="1200">
        <f t="shared" si="32"/>
        <v>1360</v>
      </c>
      <c r="H44" s="1200">
        <f t="shared" si="33"/>
        <v>1540</v>
      </c>
      <c r="J44" s="1205" t="str">
        <f t="shared" si="34"/>
        <v>5 X 600</v>
      </c>
      <c r="K44" s="1206">
        <f t="shared" si="35"/>
        <v>3000000</v>
      </c>
      <c r="L44" s="1199">
        <f t="shared" si="36"/>
        <v>1750</v>
      </c>
      <c r="M44" s="1199">
        <f t="shared" si="37"/>
        <v>2100</v>
      </c>
      <c r="N44" s="1199">
        <f t="shared" si="38"/>
        <v>2375</v>
      </c>
      <c r="O44" s="1200">
        <f t="shared" si="39"/>
        <v>1425</v>
      </c>
      <c r="P44" s="1200">
        <f t="shared" si="40"/>
        <v>1700</v>
      </c>
      <c r="Q44" s="1200">
        <f t="shared" si="41"/>
        <v>1925</v>
      </c>
      <c r="S44" s="1205" t="str">
        <f t="shared" si="42"/>
        <v>6 X 600</v>
      </c>
      <c r="T44" s="1206">
        <f t="shared" si="43"/>
        <v>3600000</v>
      </c>
      <c r="U44" s="1199">
        <f t="shared" si="44"/>
        <v>2100</v>
      </c>
      <c r="V44" s="1199">
        <f t="shared" si="45"/>
        <v>2520</v>
      </c>
      <c r="W44" s="1199">
        <f t="shared" si="46"/>
        <v>2850</v>
      </c>
      <c r="X44" s="1200">
        <f t="shared" si="47"/>
        <v>1710</v>
      </c>
      <c r="Y44" s="1200">
        <f t="shared" si="48"/>
        <v>2040</v>
      </c>
      <c r="Z44" s="1200">
        <f t="shared" si="49"/>
        <v>2310</v>
      </c>
    </row>
    <row r="45" spans="1:26">
      <c r="A45" s="1205" t="str">
        <f t="shared" si="26"/>
        <v>4 X 700</v>
      </c>
      <c r="B45" s="1206">
        <f t="shared" si="27"/>
        <v>2800000</v>
      </c>
      <c r="C45" s="1199">
        <f t="shared" si="28"/>
        <v>1540</v>
      </c>
      <c r="D45" s="1199">
        <f t="shared" si="29"/>
        <v>1840</v>
      </c>
      <c r="E45" s="1199">
        <f t="shared" si="30"/>
        <v>2080</v>
      </c>
      <c r="F45" s="1200">
        <f t="shared" si="31"/>
        <v>1260</v>
      </c>
      <c r="G45" s="1200">
        <f t="shared" si="32"/>
        <v>1500</v>
      </c>
      <c r="H45" s="1200">
        <f t="shared" si="33"/>
        <v>1700</v>
      </c>
      <c r="J45" s="1205" t="str">
        <f t="shared" si="34"/>
        <v>5 X 700</v>
      </c>
      <c r="K45" s="1206">
        <f t="shared" si="35"/>
        <v>3500000</v>
      </c>
      <c r="L45" s="1199">
        <f t="shared" si="36"/>
        <v>1925</v>
      </c>
      <c r="M45" s="1199">
        <f t="shared" si="37"/>
        <v>2300</v>
      </c>
      <c r="N45" s="1199">
        <f t="shared" si="38"/>
        <v>2600</v>
      </c>
      <c r="O45" s="1200">
        <f t="shared" si="39"/>
        <v>1575</v>
      </c>
      <c r="P45" s="1200">
        <f t="shared" si="40"/>
        <v>1875</v>
      </c>
      <c r="Q45" s="1200">
        <f t="shared" si="41"/>
        <v>2125</v>
      </c>
      <c r="S45" s="1205" t="str">
        <f t="shared" si="42"/>
        <v>6 X 700</v>
      </c>
      <c r="T45" s="1206">
        <f t="shared" si="43"/>
        <v>4200000</v>
      </c>
      <c r="U45" s="1199">
        <f t="shared" si="44"/>
        <v>2310</v>
      </c>
      <c r="V45" s="1199">
        <f t="shared" si="45"/>
        <v>2760</v>
      </c>
      <c r="W45" s="1199">
        <f t="shared" si="46"/>
        <v>3120</v>
      </c>
      <c r="X45" s="1200">
        <f t="shared" si="47"/>
        <v>1890</v>
      </c>
      <c r="Y45" s="1200">
        <f t="shared" si="48"/>
        <v>2250</v>
      </c>
      <c r="Z45" s="1200">
        <f t="shared" si="49"/>
        <v>2550</v>
      </c>
    </row>
    <row r="46" spans="1:26">
      <c r="A46" s="1205" t="str">
        <f t="shared" si="26"/>
        <v>4 X 750</v>
      </c>
      <c r="B46" s="1206">
        <f t="shared" si="27"/>
        <v>3000000</v>
      </c>
      <c r="C46" s="1199">
        <f t="shared" si="28"/>
        <v>1600</v>
      </c>
      <c r="D46" s="1199">
        <f t="shared" si="29"/>
        <v>1900</v>
      </c>
      <c r="E46" s="1199">
        <f t="shared" si="30"/>
        <v>2140</v>
      </c>
      <c r="F46" s="1200">
        <f t="shared" si="31"/>
        <v>1280</v>
      </c>
      <c r="G46" s="1200">
        <f t="shared" si="32"/>
        <v>1540</v>
      </c>
      <c r="H46" s="1200">
        <f t="shared" si="33"/>
        <v>1740</v>
      </c>
      <c r="J46" s="1205" t="str">
        <f t="shared" si="34"/>
        <v>5 X 750</v>
      </c>
      <c r="K46" s="1206">
        <f t="shared" si="35"/>
        <v>3750000</v>
      </c>
      <c r="L46" s="1199">
        <f t="shared" si="36"/>
        <v>2000</v>
      </c>
      <c r="M46" s="1199">
        <f t="shared" si="37"/>
        <v>2375</v>
      </c>
      <c r="N46" s="1199">
        <f t="shared" si="38"/>
        <v>2675</v>
      </c>
      <c r="O46" s="1200">
        <f t="shared" si="39"/>
        <v>1600</v>
      </c>
      <c r="P46" s="1200">
        <f t="shared" si="40"/>
        <v>1925</v>
      </c>
      <c r="Q46" s="1200">
        <f t="shared" si="41"/>
        <v>2175</v>
      </c>
      <c r="S46" s="1205" t="str">
        <f t="shared" si="42"/>
        <v>6 X 750</v>
      </c>
      <c r="T46" s="1206">
        <f t="shared" si="43"/>
        <v>4500000</v>
      </c>
      <c r="U46" s="1199">
        <f t="shared" si="44"/>
        <v>2400</v>
      </c>
      <c r="V46" s="1199">
        <f t="shared" si="45"/>
        <v>2850</v>
      </c>
      <c r="W46" s="1199">
        <f t="shared" si="46"/>
        <v>3210</v>
      </c>
      <c r="X46" s="1200">
        <f t="shared" si="47"/>
        <v>1920</v>
      </c>
      <c r="Y46" s="1200">
        <f t="shared" si="48"/>
        <v>2310</v>
      </c>
      <c r="Z46" s="1200">
        <f t="shared" si="49"/>
        <v>2610</v>
      </c>
    </row>
    <row r="47" spans="1:26">
      <c r="A47" s="1205" t="str">
        <f t="shared" si="26"/>
        <v>4 X 800</v>
      </c>
      <c r="B47" s="1206">
        <f t="shared" si="27"/>
        <v>3200000</v>
      </c>
      <c r="C47" s="1199">
        <f t="shared" si="28"/>
        <v>1640</v>
      </c>
      <c r="D47" s="1199">
        <f t="shared" si="29"/>
        <v>1960</v>
      </c>
      <c r="E47" s="1199">
        <f t="shared" si="30"/>
        <v>2220</v>
      </c>
      <c r="F47" s="1200">
        <f t="shared" si="31"/>
        <v>1320</v>
      </c>
      <c r="G47" s="1200">
        <f t="shared" si="32"/>
        <v>1580</v>
      </c>
      <c r="H47" s="1200">
        <f t="shared" si="33"/>
        <v>1780</v>
      </c>
      <c r="J47" s="1205" t="str">
        <f t="shared" si="34"/>
        <v>5 X 800</v>
      </c>
      <c r="K47" s="1206">
        <f t="shared" si="35"/>
        <v>4000000</v>
      </c>
      <c r="L47" s="1199">
        <f t="shared" si="36"/>
        <v>2050</v>
      </c>
      <c r="M47" s="1199">
        <f t="shared" si="37"/>
        <v>2450</v>
      </c>
      <c r="N47" s="1199">
        <f t="shared" si="38"/>
        <v>2775</v>
      </c>
      <c r="O47" s="1200">
        <f t="shared" si="39"/>
        <v>1650</v>
      </c>
      <c r="P47" s="1200">
        <f t="shared" si="40"/>
        <v>1975</v>
      </c>
      <c r="Q47" s="1200">
        <f t="shared" si="41"/>
        <v>2225</v>
      </c>
      <c r="S47" s="1205" t="str">
        <f t="shared" si="42"/>
        <v>6 X 800</v>
      </c>
      <c r="T47" s="1206">
        <f t="shared" si="43"/>
        <v>4800000</v>
      </c>
      <c r="U47" s="1199">
        <f t="shared" si="44"/>
        <v>2460</v>
      </c>
      <c r="V47" s="1199">
        <f t="shared" si="45"/>
        <v>2940</v>
      </c>
      <c r="W47" s="1199">
        <f t="shared" si="46"/>
        <v>3330</v>
      </c>
      <c r="X47" s="1200">
        <f t="shared" si="47"/>
        <v>1980</v>
      </c>
      <c r="Y47" s="1200">
        <f t="shared" si="48"/>
        <v>2370</v>
      </c>
      <c r="Z47" s="1200">
        <f t="shared" si="49"/>
        <v>2670</v>
      </c>
    </row>
    <row r="48" spans="1:26">
      <c r="A48" s="1205" t="str">
        <f t="shared" si="26"/>
        <v>4 X 900</v>
      </c>
      <c r="B48" s="1206">
        <f t="shared" si="27"/>
        <v>3600000</v>
      </c>
      <c r="C48" s="1199">
        <f t="shared" si="28"/>
        <v>1740</v>
      </c>
      <c r="D48" s="1199">
        <f t="shared" si="29"/>
        <v>2080</v>
      </c>
      <c r="E48" s="1199">
        <f t="shared" si="30"/>
        <v>2340</v>
      </c>
      <c r="F48" s="1200">
        <f t="shared" si="31"/>
        <v>1420</v>
      </c>
      <c r="G48" s="1200">
        <f t="shared" si="32"/>
        <v>1700</v>
      </c>
      <c r="H48" s="1200">
        <f t="shared" si="33"/>
        <v>1920</v>
      </c>
      <c r="J48" s="1205" t="str">
        <f t="shared" si="34"/>
        <v>5 X 900</v>
      </c>
      <c r="K48" s="1206">
        <f t="shared" si="35"/>
        <v>4500000</v>
      </c>
      <c r="L48" s="1199">
        <f t="shared" si="36"/>
        <v>2175</v>
      </c>
      <c r="M48" s="1199">
        <f t="shared" si="37"/>
        <v>2600</v>
      </c>
      <c r="N48" s="1199">
        <f t="shared" si="38"/>
        <v>2925</v>
      </c>
      <c r="O48" s="1200">
        <f t="shared" si="39"/>
        <v>1775</v>
      </c>
      <c r="P48" s="1200">
        <f t="shared" si="40"/>
        <v>2125</v>
      </c>
      <c r="Q48" s="1200">
        <f t="shared" si="41"/>
        <v>2400</v>
      </c>
      <c r="S48" s="1205" t="str">
        <f t="shared" si="42"/>
        <v>6 X 900</v>
      </c>
      <c r="T48" s="1206">
        <f t="shared" si="43"/>
        <v>5400000</v>
      </c>
      <c r="U48" s="1199">
        <f t="shared" si="44"/>
        <v>2610</v>
      </c>
      <c r="V48" s="1199">
        <f t="shared" si="45"/>
        <v>3120</v>
      </c>
      <c r="W48" s="1199">
        <f t="shared" si="46"/>
        <v>3510</v>
      </c>
      <c r="X48" s="1200">
        <f t="shared" si="47"/>
        <v>2130</v>
      </c>
      <c r="Y48" s="1200">
        <f t="shared" si="48"/>
        <v>2550</v>
      </c>
      <c r="Z48" s="1200">
        <f t="shared" si="49"/>
        <v>2880</v>
      </c>
    </row>
    <row r="49" spans="1:26">
      <c r="A49" s="1205" t="str">
        <f t="shared" si="26"/>
        <v>4 X 1000</v>
      </c>
      <c r="B49" s="1206">
        <f t="shared" si="27"/>
        <v>4000000</v>
      </c>
      <c r="C49" s="1199">
        <f t="shared" si="28"/>
        <v>1820</v>
      </c>
      <c r="D49" s="1199">
        <f t="shared" si="29"/>
        <v>2180</v>
      </c>
      <c r="E49" s="1199">
        <f t="shared" si="30"/>
        <v>2460</v>
      </c>
      <c r="F49" s="1200">
        <f t="shared" si="31"/>
        <v>1500</v>
      </c>
      <c r="G49" s="1200">
        <f t="shared" si="32"/>
        <v>1780</v>
      </c>
      <c r="H49" s="1200">
        <f t="shared" si="33"/>
        <v>2000</v>
      </c>
      <c r="J49" s="1205" t="str">
        <f t="shared" si="34"/>
        <v>5 X 1000</v>
      </c>
      <c r="K49" s="1206">
        <f t="shared" si="35"/>
        <v>5000000</v>
      </c>
      <c r="L49" s="1199">
        <f t="shared" si="36"/>
        <v>2275</v>
      </c>
      <c r="M49" s="1199">
        <f t="shared" si="37"/>
        <v>2725</v>
      </c>
      <c r="N49" s="1199">
        <f t="shared" si="38"/>
        <v>3075</v>
      </c>
      <c r="O49" s="1200">
        <f t="shared" si="39"/>
        <v>1875</v>
      </c>
      <c r="P49" s="1200">
        <f t="shared" si="40"/>
        <v>2225</v>
      </c>
      <c r="Q49" s="1200">
        <f t="shared" si="41"/>
        <v>2500</v>
      </c>
      <c r="S49" s="1205" t="str">
        <f t="shared" si="42"/>
        <v>6 X 1000</v>
      </c>
      <c r="T49" s="1206">
        <f t="shared" si="43"/>
        <v>6000000</v>
      </c>
      <c r="U49" s="1199">
        <f t="shared" si="44"/>
        <v>2730</v>
      </c>
      <c r="V49" s="1199">
        <f t="shared" si="45"/>
        <v>3270</v>
      </c>
      <c r="W49" s="1199">
        <f t="shared" si="46"/>
        <v>3690</v>
      </c>
      <c r="X49" s="1200">
        <f t="shared" si="47"/>
        <v>2250</v>
      </c>
      <c r="Y49" s="1200">
        <f t="shared" si="48"/>
        <v>2670</v>
      </c>
      <c r="Z49" s="1200">
        <f t="shared" si="49"/>
        <v>3000</v>
      </c>
    </row>
    <row r="50" spans="1:26">
      <c r="A50" s="1205" t="str">
        <f t="shared" si="26"/>
        <v>4 X 1250</v>
      </c>
      <c r="B50" s="1206">
        <f t="shared" si="27"/>
        <v>5000000</v>
      </c>
      <c r="C50" s="1199">
        <f t="shared" si="28"/>
        <v>1980</v>
      </c>
      <c r="D50" s="1199">
        <f t="shared" si="29"/>
        <v>2360</v>
      </c>
      <c r="E50" s="1199">
        <f t="shared" si="30"/>
        <v>2660</v>
      </c>
      <c r="F50" s="1200">
        <f t="shared" si="31"/>
        <v>1620</v>
      </c>
      <c r="G50" s="1200">
        <f t="shared" si="32"/>
        <v>1940</v>
      </c>
      <c r="H50" s="1200">
        <f t="shared" si="33"/>
        <v>2180</v>
      </c>
      <c r="J50" s="1205" t="str">
        <f t="shared" si="34"/>
        <v>5 X 1250</v>
      </c>
      <c r="K50" s="1206">
        <f t="shared" si="35"/>
        <v>6250000</v>
      </c>
      <c r="L50" s="1199">
        <f t="shared" si="36"/>
        <v>2475</v>
      </c>
      <c r="M50" s="1199">
        <f t="shared" si="37"/>
        <v>2950</v>
      </c>
      <c r="N50" s="1199">
        <f t="shared" si="38"/>
        <v>3325</v>
      </c>
      <c r="O50" s="1200">
        <f t="shared" si="39"/>
        <v>2025</v>
      </c>
      <c r="P50" s="1200">
        <f t="shared" si="40"/>
        <v>2425</v>
      </c>
      <c r="Q50" s="1200">
        <f t="shared" si="41"/>
        <v>2725</v>
      </c>
      <c r="S50" s="1205" t="str">
        <f t="shared" si="42"/>
        <v>6 X 1250</v>
      </c>
      <c r="T50" s="1206">
        <f t="shared" si="43"/>
        <v>7500000</v>
      </c>
      <c r="U50" s="1199">
        <f t="shared" si="44"/>
        <v>2970</v>
      </c>
      <c r="V50" s="1199">
        <f t="shared" si="45"/>
        <v>3540</v>
      </c>
      <c r="W50" s="1199">
        <f t="shared" si="46"/>
        <v>3990</v>
      </c>
      <c r="X50" s="1200">
        <f t="shared" si="47"/>
        <v>2430</v>
      </c>
      <c r="Y50" s="1200">
        <f t="shared" si="48"/>
        <v>2910</v>
      </c>
      <c r="Z50" s="1200">
        <f t="shared" si="49"/>
        <v>3270</v>
      </c>
    </row>
    <row r="51" spans="1:26">
      <c r="A51" s="1205" t="str">
        <f t="shared" si="26"/>
        <v>4 X 1500</v>
      </c>
      <c r="B51" s="1206">
        <f t="shared" si="27"/>
        <v>6000000</v>
      </c>
      <c r="C51" s="1199">
        <f t="shared" si="28"/>
        <v>2100</v>
      </c>
      <c r="D51" s="1199">
        <f t="shared" si="29"/>
        <v>2500</v>
      </c>
      <c r="E51" s="1199">
        <f t="shared" si="30"/>
        <v>2820</v>
      </c>
      <c r="F51" s="1200">
        <f t="shared" si="31"/>
        <v>1740</v>
      </c>
      <c r="G51" s="1200">
        <f t="shared" si="32"/>
        <v>2080</v>
      </c>
      <c r="H51" s="1200">
        <f t="shared" si="33"/>
        <v>2340</v>
      </c>
      <c r="J51" s="1205" t="str">
        <f t="shared" si="34"/>
        <v>5 X 1500</v>
      </c>
      <c r="K51" s="1206">
        <f t="shared" si="35"/>
        <v>7500000</v>
      </c>
      <c r="L51" s="1199">
        <f t="shared" si="36"/>
        <v>2625</v>
      </c>
      <c r="M51" s="1199">
        <f t="shared" si="37"/>
        <v>3125</v>
      </c>
      <c r="N51" s="1199">
        <f t="shared" si="38"/>
        <v>3525</v>
      </c>
      <c r="O51" s="1200">
        <f t="shared" si="39"/>
        <v>2175</v>
      </c>
      <c r="P51" s="1200">
        <f t="shared" si="40"/>
        <v>2600</v>
      </c>
      <c r="Q51" s="1200">
        <f t="shared" si="41"/>
        <v>2925</v>
      </c>
      <c r="S51" s="1205" t="str">
        <f t="shared" si="42"/>
        <v>6 X 1500</v>
      </c>
      <c r="T51" s="1206">
        <f t="shared" si="43"/>
        <v>9000000</v>
      </c>
      <c r="U51" s="1199">
        <f t="shared" si="44"/>
        <v>3150</v>
      </c>
      <c r="V51" s="1199">
        <f t="shared" si="45"/>
        <v>3750</v>
      </c>
      <c r="W51" s="1199">
        <f t="shared" si="46"/>
        <v>4230</v>
      </c>
      <c r="X51" s="1200">
        <f t="shared" si="47"/>
        <v>2610</v>
      </c>
      <c r="Y51" s="1200">
        <f t="shared" si="48"/>
        <v>3120</v>
      </c>
      <c r="Z51" s="1200">
        <f t="shared" si="49"/>
        <v>3510</v>
      </c>
    </row>
    <row r="52" spans="1:26">
      <c r="A52" s="1205" t="str">
        <f t="shared" si="26"/>
        <v>4 X 1750</v>
      </c>
      <c r="B52" s="1206">
        <f t="shared" si="27"/>
        <v>7000000</v>
      </c>
      <c r="C52" s="1199">
        <f t="shared" si="28"/>
        <v>2180</v>
      </c>
      <c r="D52" s="1199">
        <f t="shared" si="29"/>
        <v>2600</v>
      </c>
      <c r="E52" s="1199">
        <f t="shared" si="30"/>
        <v>2940</v>
      </c>
      <c r="F52" s="1200">
        <f t="shared" si="31"/>
        <v>1820</v>
      </c>
      <c r="G52" s="1200">
        <f t="shared" si="32"/>
        <v>2180</v>
      </c>
      <c r="H52" s="1200">
        <f t="shared" si="33"/>
        <v>2460</v>
      </c>
      <c r="J52" s="1205" t="str">
        <f t="shared" si="34"/>
        <v>5 X 1750</v>
      </c>
      <c r="K52" s="1206">
        <f t="shared" si="35"/>
        <v>8750000</v>
      </c>
      <c r="L52" s="1199">
        <f t="shared" si="36"/>
        <v>2725</v>
      </c>
      <c r="M52" s="1199">
        <f t="shared" si="37"/>
        <v>3250</v>
      </c>
      <c r="N52" s="1199">
        <f t="shared" si="38"/>
        <v>3675</v>
      </c>
      <c r="O52" s="1200">
        <f t="shared" si="39"/>
        <v>2275</v>
      </c>
      <c r="P52" s="1200">
        <f t="shared" si="40"/>
        <v>2725</v>
      </c>
      <c r="Q52" s="1200">
        <f t="shared" si="41"/>
        <v>3075</v>
      </c>
      <c r="S52" s="1205" t="str">
        <f t="shared" si="42"/>
        <v>6 X 1750</v>
      </c>
      <c r="T52" s="1206">
        <f t="shared" si="43"/>
        <v>10500000</v>
      </c>
      <c r="U52" s="1199">
        <f t="shared" si="44"/>
        <v>3270</v>
      </c>
      <c r="V52" s="1199">
        <f t="shared" si="45"/>
        <v>3900</v>
      </c>
      <c r="W52" s="1199">
        <f t="shared" si="46"/>
        <v>4410</v>
      </c>
      <c r="X52" s="1200">
        <f t="shared" si="47"/>
        <v>2730</v>
      </c>
      <c r="Y52" s="1200">
        <f t="shared" si="48"/>
        <v>3270</v>
      </c>
      <c r="Z52" s="1200">
        <f t="shared" si="49"/>
        <v>3690</v>
      </c>
    </row>
    <row r="53" spans="1:26">
      <c r="A53" s="1205" t="str">
        <f t="shared" si="26"/>
        <v>4 X 2000</v>
      </c>
      <c r="B53" s="1206">
        <f t="shared" si="27"/>
        <v>8000000</v>
      </c>
      <c r="C53" s="1199">
        <f t="shared" si="28"/>
        <v>2220</v>
      </c>
      <c r="D53" s="1199">
        <f t="shared" si="29"/>
        <v>2660</v>
      </c>
      <c r="E53" s="1199">
        <f t="shared" si="30"/>
        <v>3000</v>
      </c>
      <c r="F53" s="1200">
        <f t="shared" si="31"/>
        <v>1880</v>
      </c>
      <c r="G53" s="1200">
        <f t="shared" si="32"/>
        <v>2240</v>
      </c>
      <c r="H53" s="1200">
        <f t="shared" si="33"/>
        <v>2520</v>
      </c>
      <c r="J53" s="1205" t="str">
        <f t="shared" si="34"/>
        <v>5 X 2000</v>
      </c>
      <c r="K53" s="1206">
        <f t="shared" si="35"/>
        <v>10000000</v>
      </c>
      <c r="L53" s="1199">
        <f t="shared" si="36"/>
        <v>2775</v>
      </c>
      <c r="M53" s="1199">
        <f t="shared" si="37"/>
        <v>3325</v>
      </c>
      <c r="N53" s="1199">
        <f t="shared" si="38"/>
        <v>3750</v>
      </c>
      <c r="O53" s="1200">
        <f t="shared" si="39"/>
        <v>2350</v>
      </c>
      <c r="P53" s="1200">
        <f t="shared" si="40"/>
        <v>2800</v>
      </c>
      <c r="Q53" s="1200">
        <f t="shared" si="41"/>
        <v>3150</v>
      </c>
      <c r="S53" s="1205" t="str">
        <f t="shared" si="42"/>
        <v>6 X 2000</v>
      </c>
      <c r="T53" s="1206">
        <f t="shared" si="43"/>
        <v>12000000</v>
      </c>
      <c r="U53" s="1199">
        <f t="shared" si="44"/>
        <v>3330</v>
      </c>
      <c r="V53" s="1199">
        <f t="shared" si="45"/>
        <v>3990</v>
      </c>
      <c r="W53" s="1199">
        <f t="shared" si="46"/>
        <v>4500</v>
      </c>
      <c r="X53" s="1200">
        <f t="shared" si="47"/>
        <v>2820</v>
      </c>
      <c r="Y53" s="1200">
        <f t="shared" si="48"/>
        <v>3360</v>
      </c>
      <c r="Z53" s="1200">
        <f t="shared" si="49"/>
        <v>3780</v>
      </c>
    </row>
  </sheetData>
  <sheetProtection algorithmName="SHA-512" hashValue="NrS9+UsDqLkQoemdKhI/JyE4pmkbVRSbKJLk1xTn9snaxW4XECMWULRUI9wHaJt/5oKvyo9yIr2Rb7TS/wcQAA==" saltValue="nL1CkWwG1Z8ziHSJCOAHEg==" spinCount="100000" sheet="1" objects="1" scenarios="1"/>
  <mergeCells count="1">
    <mergeCell ref="A1:Z1"/>
  </mergeCells>
  <printOptions horizontalCentered="1" verticalCentered="1"/>
  <pageMargins left="0.7" right="0.7" top="0.75" bottom="0.75" header="0.3" footer="0.3"/>
  <pageSetup scale="64"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7030A0"/>
    <pageSetUpPr fitToPage="1"/>
  </sheetPr>
  <dimension ref="A1:IV46"/>
  <sheetViews>
    <sheetView workbookViewId="0">
      <selection activeCell="A25" sqref="A25"/>
    </sheetView>
  </sheetViews>
  <sheetFormatPr defaultColWidth="11.5703125" defaultRowHeight="15.75" customHeight="1"/>
  <cols>
    <col min="1" max="1" width="17.5703125" style="17" customWidth="1"/>
    <col min="2" max="13" width="12.42578125" style="17" customWidth="1"/>
    <col min="14" max="240" width="17.28515625" style="17" customWidth="1"/>
    <col min="241" max="16384" width="11.5703125" style="18"/>
  </cols>
  <sheetData>
    <row r="1" spans="1:256" ht="12.75" customHeight="1">
      <c r="A1" s="1304" t="s">
        <v>220</v>
      </c>
      <c r="B1" s="1304"/>
      <c r="C1" s="1304"/>
      <c r="D1" s="1304"/>
      <c r="E1" s="1304"/>
      <c r="F1" s="1304"/>
      <c r="G1" s="1304"/>
      <c r="H1" s="1304"/>
      <c r="I1" s="1304"/>
      <c r="J1" s="1304"/>
      <c r="K1" s="1304"/>
      <c r="L1" s="1304"/>
      <c r="M1" s="1304"/>
    </row>
    <row r="2" spans="1:256" ht="12.75" customHeight="1">
      <c r="A2" s="29"/>
      <c r="B2" s="29"/>
      <c r="C2" s="112"/>
      <c r="D2" s="29"/>
      <c r="E2" s="112" t="s">
        <v>27</v>
      </c>
      <c r="F2" s="112"/>
      <c r="G2" s="29"/>
      <c r="H2" s="113" t="s">
        <v>35</v>
      </c>
      <c r="I2" s="29"/>
      <c r="J2" s="112" t="s">
        <v>221</v>
      </c>
      <c r="K2" s="114" t="s">
        <v>222</v>
      </c>
      <c r="L2" s="115" t="s">
        <v>222</v>
      </c>
      <c r="M2" s="112" t="s">
        <v>223</v>
      </c>
    </row>
    <row r="3" spans="1:256" ht="12.75" customHeight="1">
      <c r="A3" s="116" t="s">
        <v>224</v>
      </c>
      <c r="B3" s="116" t="s">
        <v>225</v>
      </c>
      <c r="C3" s="117" t="s">
        <v>226</v>
      </c>
      <c r="D3" s="117" t="s">
        <v>227</v>
      </c>
      <c r="E3" s="117" t="s">
        <v>228</v>
      </c>
      <c r="F3" s="117" t="s">
        <v>229</v>
      </c>
      <c r="G3" s="117" t="s">
        <v>230</v>
      </c>
      <c r="H3" s="118" t="s">
        <v>231</v>
      </c>
      <c r="I3" s="117" t="s">
        <v>232</v>
      </c>
      <c r="J3" s="119" t="s">
        <v>5</v>
      </c>
      <c r="K3" s="116" t="s">
        <v>233</v>
      </c>
      <c r="L3" s="116" t="s">
        <v>5</v>
      </c>
      <c r="M3" s="119" t="s">
        <v>234</v>
      </c>
    </row>
    <row r="4" spans="1:256" s="20" customFormat="1" ht="12.75" customHeight="1">
      <c r="A4" s="436" t="s">
        <v>235</v>
      </c>
      <c r="B4" s="437" t="s">
        <v>236</v>
      </c>
      <c r="C4" s="437">
        <v>4000</v>
      </c>
      <c r="D4" s="437">
        <v>1.732</v>
      </c>
      <c r="E4" s="437">
        <v>21.2</v>
      </c>
      <c r="F4" s="437">
        <v>45</v>
      </c>
      <c r="G4" s="437">
        <v>460</v>
      </c>
      <c r="H4" s="438">
        <v>0.03</v>
      </c>
      <c r="I4" s="120">
        <f>H4*G4</f>
        <v>13.799999999999999</v>
      </c>
      <c r="J4" s="121">
        <f>(((D4*E4)*C4)*F4)/I4</f>
        <v>478935.65217391303</v>
      </c>
      <c r="K4" s="440" t="s">
        <v>237</v>
      </c>
      <c r="L4" s="440">
        <v>500000</v>
      </c>
      <c r="M4" s="121">
        <f>G4-((((D4*E4)*C4)*F4)/L4)</f>
        <v>446.78137600000002</v>
      </c>
      <c r="IG4" s="108"/>
      <c r="IH4" s="108"/>
      <c r="II4" s="108"/>
      <c r="IJ4" s="108"/>
      <c r="IK4" s="108"/>
      <c r="IL4" s="108"/>
      <c r="IM4" s="108"/>
      <c r="IN4" s="108"/>
      <c r="IO4" s="108"/>
      <c r="IP4" s="108"/>
      <c r="IQ4" s="108"/>
      <c r="IR4" s="108"/>
      <c r="IS4" s="108"/>
      <c r="IT4" s="108"/>
      <c r="IU4" s="108"/>
      <c r="IV4" s="108"/>
    </row>
    <row r="5" spans="1:256" s="20" customFormat="1" ht="12.75" customHeight="1">
      <c r="A5" s="436" t="s">
        <v>238</v>
      </c>
      <c r="B5" s="437" t="s">
        <v>236</v>
      </c>
      <c r="C5" s="437">
        <v>2000</v>
      </c>
      <c r="D5" s="437">
        <v>1.732</v>
      </c>
      <c r="E5" s="437">
        <v>21.2</v>
      </c>
      <c r="F5" s="437">
        <v>25</v>
      </c>
      <c r="G5" s="437">
        <v>460</v>
      </c>
      <c r="H5" s="438">
        <v>0.03</v>
      </c>
      <c r="I5" s="120">
        <f>H5*G5</f>
        <v>13.799999999999999</v>
      </c>
      <c r="J5" s="121">
        <f>(((D5*E5)*C5)*F5)/I5</f>
        <v>133037.68115942029</v>
      </c>
      <c r="K5" s="440">
        <v>250</v>
      </c>
      <c r="L5" s="440">
        <v>250000</v>
      </c>
      <c r="M5" s="121">
        <f>G5-((((D5*E5)*C5)*F5)/L5)</f>
        <v>452.65631999999999</v>
      </c>
      <c r="IG5" s="108"/>
      <c r="IH5" s="108"/>
      <c r="II5" s="108"/>
      <c r="IJ5" s="108"/>
      <c r="IK5" s="108"/>
      <c r="IL5" s="108"/>
      <c r="IM5" s="108"/>
      <c r="IN5" s="108"/>
      <c r="IO5" s="108"/>
      <c r="IP5" s="108"/>
      <c r="IQ5" s="108"/>
      <c r="IR5" s="108"/>
      <c r="IS5" s="108"/>
      <c r="IT5" s="108"/>
      <c r="IU5" s="108"/>
      <c r="IV5" s="108"/>
    </row>
    <row r="6" spans="1:256" s="20" customFormat="1" ht="12.75" customHeight="1">
      <c r="A6" s="436" t="s">
        <v>239</v>
      </c>
      <c r="B6" s="437" t="s">
        <v>236</v>
      </c>
      <c r="C6" s="437">
        <v>2500</v>
      </c>
      <c r="D6" s="437">
        <v>1.732</v>
      </c>
      <c r="E6" s="437">
        <v>21.2</v>
      </c>
      <c r="F6" s="437">
        <v>50</v>
      </c>
      <c r="G6" s="437">
        <v>460</v>
      </c>
      <c r="H6" s="438">
        <v>0.03</v>
      </c>
      <c r="I6" s="120">
        <f>H6*G6</f>
        <v>13.799999999999999</v>
      </c>
      <c r="J6" s="121">
        <f>(((D6*E6)*C6)*F6)/I6</f>
        <v>332594.20289855066</v>
      </c>
      <c r="K6" s="440" t="s">
        <v>237</v>
      </c>
      <c r="L6" s="440">
        <v>500000</v>
      </c>
      <c r="M6" s="121">
        <f>G6-((((D6*E6)*C6)*F6)/L6)</f>
        <v>450.82040000000001</v>
      </c>
      <c r="IG6" s="108"/>
      <c r="IH6" s="108"/>
      <c r="II6" s="108"/>
      <c r="IJ6" s="108"/>
      <c r="IK6" s="108"/>
      <c r="IL6" s="108"/>
      <c r="IM6" s="108"/>
      <c r="IN6" s="108"/>
      <c r="IO6" s="108"/>
      <c r="IP6" s="108"/>
      <c r="IQ6" s="108"/>
      <c r="IR6" s="108"/>
      <c r="IS6" s="108"/>
      <c r="IT6" s="108"/>
      <c r="IU6" s="108"/>
      <c r="IV6" s="108"/>
    </row>
    <row r="7" spans="1:256" s="20" customFormat="1" ht="12.75" customHeight="1">
      <c r="A7" s="436" t="s">
        <v>240</v>
      </c>
      <c r="B7" s="437" t="s">
        <v>241</v>
      </c>
      <c r="C7" s="437">
        <v>1000</v>
      </c>
      <c r="D7" s="437">
        <v>1.732</v>
      </c>
      <c r="E7" s="437">
        <v>21.2</v>
      </c>
      <c r="F7" s="437">
        <v>25</v>
      </c>
      <c r="G7" s="437">
        <v>460</v>
      </c>
      <c r="H7" s="438">
        <v>0.03</v>
      </c>
      <c r="I7" s="120">
        <f>H7*G7</f>
        <v>13.799999999999999</v>
      </c>
      <c r="J7" s="121">
        <f>(((D7*E7)*C7)*F7)/I7</f>
        <v>66518.840579710144</v>
      </c>
      <c r="K7" s="440">
        <v>250</v>
      </c>
      <c r="L7" s="440">
        <v>250000</v>
      </c>
      <c r="M7" s="121">
        <f>G7-((((D7*E7)*C7)*F7)/L7)</f>
        <v>456.32816000000003</v>
      </c>
      <c r="IG7" s="108"/>
      <c r="IH7" s="108"/>
      <c r="II7" s="108"/>
      <c r="IJ7" s="108"/>
      <c r="IK7" s="108"/>
      <c r="IL7" s="108"/>
      <c r="IM7" s="108"/>
      <c r="IN7" s="108"/>
      <c r="IO7" s="108"/>
      <c r="IP7" s="108"/>
      <c r="IQ7" s="108"/>
      <c r="IR7" s="108"/>
      <c r="IS7" s="108"/>
      <c r="IT7" s="108"/>
      <c r="IU7" s="108"/>
      <c r="IV7" s="108"/>
    </row>
    <row r="8" spans="1:256" s="20" customFormat="1" ht="12.75" customHeight="1">
      <c r="A8" s="439" t="s">
        <v>242</v>
      </c>
      <c r="B8" s="437" t="s">
        <v>243</v>
      </c>
      <c r="C8" s="437">
        <v>500</v>
      </c>
      <c r="D8" s="437">
        <v>1.732</v>
      </c>
      <c r="E8" s="437">
        <v>21.2</v>
      </c>
      <c r="F8" s="437">
        <v>25</v>
      </c>
      <c r="G8" s="437">
        <v>460</v>
      </c>
      <c r="H8" s="438">
        <v>0.03</v>
      </c>
      <c r="I8" s="120">
        <f>H8*G8</f>
        <v>13.799999999999999</v>
      </c>
      <c r="J8" s="121">
        <f>(((D8*E8)*C8)*F8)/I8</f>
        <v>33259.420289855072</v>
      </c>
      <c r="K8" s="440">
        <v>250</v>
      </c>
      <c r="L8" s="440">
        <v>250000</v>
      </c>
      <c r="M8" s="121">
        <f>G8-((((D8*E8)*C8)*F8)/L8)</f>
        <v>458.16408000000001</v>
      </c>
      <c r="IG8" s="108"/>
      <c r="IH8" s="108"/>
      <c r="II8" s="108"/>
      <c r="IJ8" s="108"/>
      <c r="IK8" s="108"/>
      <c r="IL8" s="108"/>
      <c r="IM8" s="108"/>
      <c r="IN8" s="108"/>
      <c r="IO8" s="108"/>
      <c r="IP8" s="108"/>
      <c r="IQ8" s="108"/>
      <c r="IR8" s="108"/>
      <c r="IS8" s="108"/>
      <c r="IT8" s="108"/>
      <c r="IU8" s="108"/>
      <c r="IV8" s="108"/>
    </row>
    <row r="9" spans="1:256" s="20" customFormat="1" ht="12.75" customHeight="1">
      <c r="A9" s="122"/>
      <c r="B9" s="122"/>
      <c r="C9" s="122"/>
      <c r="D9" s="122"/>
      <c r="E9" s="122"/>
      <c r="F9" s="122"/>
      <c r="G9" s="122"/>
      <c r="H9" s="122"/>
      <c r="I9" s="122"/>
      <c r="J9" s="122"/>
      <c r="K9" s="122"/>
      <c r="L9" s="122"/>
      <c r="M9" s="122"/>
      <c r="IG9" s="108"/>
      <c r="IH9" s="108"/>
      <c r="II9" s="108"/>
      <c r="IJ9" s="108"/>
      <c r="IK9" s="108"/>
      <c r="IL9" s="108"/>
      <c r="IM9" s="108"/>
      <c r="IN9" s="108"/>
      <c r="IO9" s="108"/>
      <c r="IP9" s="108"/>
      <c r="IQ9" s="108"/>
      <c r="IR9" s="108"/>
      <c r="IS9" s="108"/>
      <c r="IT9" s="108"/>
      <c r="IU9" s="108"/>
      <c r="IV9" s="108"/>
    </row>
    <row r="10" spans="1:256" ht="12.75" customHeight="1">
      <c r="A10" s="1305" t="s">
        <v>244</v>
      </c>
      <c r="B10" s="1305"/>
      <c r="C10" s="1305"/>
      <c r="D10" s="1305"/>
      <c r="E10" s="1305"/>
      <c r="F10" s="1305"/>
      <c r="G10" s="1305"/>
      <c r="H10" s="1305"/>
      <c r="I10" s="1305"/>
      <c r="J10" s="1305"/>
      <c r="K10" s="1305"/>
      <c r="L10" s="1305"/>
      <c r="M10" s="1305"/>
      <c r="N10" s="18"/>
      <c r="O10" s="18"/>
      <c r="P10" s="18"/>
      <c r="Q10" s="18"/>
    </row>
    <row r="11" spans="1:256" ht="12.75" customHeight="1">
      <c r="A11" s="114" t="s">
        <v>245</v>
      </c>
      <c r="B11" s="29"/>
      <c r="C11" s="112" t="s">
        <v>27</v>
      </c>
      <c r="D11" s="29"/>
      <c r="E11" s="29"/>
      <c r="F11" s="29"/>
      <c r="G11" s="29"/>
      <c r="H11" s="29"/>
      <c r="I11" s="115" t="s">
        <v>222</v>
      </c>
      <c r="J11" s="29"/>
      <c r="K11" s="29"/>
      <c r="L11" s="29"/>
      <c r="M11" s="29"/>
      <c r="N11" s="18"/>
      <c r="O11" s="18"/>
      <c r="P11" s="18"/>
      <c r="Q11" s="18"/>
    </row>
    <row r="12" spans="1:256" ht="12.75" customHeight="1">
      <c r="A12" s="117" t="s">
        <v>226</v>
      </c>
      <c r="B12" s="117" t="s">
        <v>227</v>
      </c>
      <c r="C12" s="117" t="s">
        <v>228</v>
      </c>
      <c r="D12" s="117" t="s">
        <v>229</v>
      </c>
      <c r="E12" s="117" t="s">
        <v>246</v>
      </c>
      <c r="F12" s="117" t="s">
        <v>232</v>
      </c>
      <c r="G12" s="119" t="s">
        <v>5</v>
      </c>
      <c r="H12" s="116" t="s">
        <v>247</v>
      </c>
      <c r="I12" s="116" t="s">
        <v>5</v>
      </c>
      <c r="J12" s="117" t="s">
        <v>248</v>
      </c>
      <c r="K12" s="118" t="s">
        <v>249</v>
      </c>
      <c r="L12" s="116" t="s">
        <v>224</v>
      </c>
      <c r="M12" s="116" t="s">
        <v>225</v>
      </c>
      <c r="N12" s="18"/>
      <c r="O12" s="18"/>
      <c r="P12" s="18"/>
      <c r="Q12" s="18"/>
    </row>
    <row r="13" spans="1:256" s="20" customFormat="1" ht="12.75" customHeight="1">
      <c r="A13" s="437">
        <v>1000</v>
      </c>
      <c r="B13" s="120">
        <f>D4</f>
        <v>1.732</v>
      </c>
      <c r="C13" s="437">
        <v>12.9</v>
      </c>
      <c r="D13" s="120">
        <f>F4</f>
        <v>45</v>
      </c>
      <c r="E13" s="438">
        <v>0.05</v>
      </c>
      <c r="F13" s="123">
        <f>M4*E13</f>
        <v>22.339068800000003</v>
      </c>
      <c r="G13" s="121">
        <f>(((B13*C13)*A13)*D13)/F13</f>
        <v>45007.516159312778</v>
      </c>
      <c r="H13" s="440">
        <v>8</v>
      </c>
      <c r="I13" s="440">
        <v>16510</v>
      </c>
      <c r="J13" s="121">
        <f>M4-((((D4*C13)*A13)*F4)/I13)</f>
        <v>385.88337478861297</v>
      </c>
      <c r="K13" s="124">
        <f>(G4-J13)/G4</f>
        <v>0.16112309828562399</v>
      </c>
      <c r="L13" s="125" t="str">
        <f t="shared" ref="L13:M17" si="0">A4</f>
        <v>WELL 1</v>
      </c>
      <c r="M13" s="120" t="str">
        <f t="shared" si="0"/>
        <v>PD1</v>
      </c>
      <c r="N13" s="108"/>
      <c r="O13" s="108"/>
      <c r="P13" s="108"/>
      <c r="Q13" s="108"/>
      <c r="IG13" s="108"/>
      <c r="IH13" s="108"/>
      <c r="II13" s="108"/>
      <c r="IJ13" s="108"/>
      <c r="IK13" s="108"/>
      <c r="IL13" s="108"/>
      <c r="IM13" s="108"/>
      <c r="IN13" s="108"/>
      <c r="IO13" s="108"/>
      <c r="IP13" s="108"/>
      <c r="IQ13" s="108"/>
      <c r="IR13" s="108"/>
      <c r="IS13" s="108"/>
      <c r="IT13" s="108"/>
      <c r="IU13" s="108"/>
      <c r="IV13" s="108"/>
    </row>
    <row r="14" spans="1:256" s="20" customFormat="1" ht="12.75" customHeight="1">
      <c r="A14" s="437">
        <v>1000</v>
      </c>
      <c r="B14" s="120">
        <f>D5</f>
        <v>1.732</v>
      </c>
      <c r="C14" s="437">
        <v>12.9</v>
      </c>
      <c r="D14" s="120">
        <f>F5</f>
        <v>25</v>
      </c>
      <c r="E14" s="438">
        <v>0.05</v>
      </c>
      <c r="F14" s="123">
        <f>M5*E14</f>
        <v>22.632816000000002</v>
      </c>
      <c r="G14" s="121">
        <f>(((B14*C14)*A14)*D14)/F14</f>
        <v>24679.650998797497</v>
      </c>
      <c r="H14" s="440">
        <v>8</v>
      </c>
      <c r="I14" s="440">
        <v>16510</v>
      </c>
      <c r="J14" s="121">
        <f>M5-((((D5*C14)*A14)*F5)/I14)</f>
        <v>418.82409710478498</v>
      </c>
      <c r="K14" s="124">
        <f>(G5-J14)/G5</f>
        <v>8.9512832380902213E-2</v>
      </c>
      <c r="L14" s="125" t="str">
        <f t="shared" si="0"/>
        <v>WELL 2</v>
      </c>
      <c r="M14" s="120" t="str">
        <f t="shared" si="0"/>
        <v>PD1</v>
      </c>
      <c r="N14" s="108"/>
      <c r="O14" s="108"/>
      <c r="P14" s="108"/>
      <c r="Q14" s="108"/>
      <c r="IG14" s="108"/>
      <c r="IH14" s="108"/>
      <c r="II14" s="108"/>
      <c r="IJ14" s="108"/>
      <c r="IK14" s="108"/>
      <c r="IL14" s="108"/>
      <c r="IM14" s="108"/>
      <c r="IN14" s="108"/>
      <c r="IO14" s="108"/>
      <c r="IP14" s="108"/>
      <c r="IQ14" s="108"/>
      <c r="IR14" s="108"/>
      <c r="IS14" s="108"/>
      <c r="IT14" s="108"/>
      <c r="IU14" s="108"/>
      <c r="IV14" s="108"/>
    </row>
    <row r="15" spans="1:256" s="20" customFormat="1" ht="12.75" customHeight="1">
      <c r="A15" s="437">
        <v>1000</v>
      </c>
      <c r="B15" s="120">
        <f>D6</f>
        <v>1.732</v>
      </c>
      <c r="C15" s="437">
        <v>12.9</v>
      </c>
      <c r="D15" s="120">
        <f>F6</f>
        <v>50</v>
      </c>
      <c r="E15" s="438">
        <v>0.05</v>
      </c>
      <c r="F15" s="123">
        <f>M6*E15</f>
        <v>22.541020000000003</v>
      </c>
      <c r="G15" s="121">
        <f>(((B15*C15)*A15)*D15)/F15</f>
        <v>49560.312709895108</v>
      </c>
      <c r="H15" s="440">
        <v>8</v>
      </c>
      <c r="I15" s="440">
        <v>16510</v>
      </c>
      <c r="J15" s="121">
        <f>M6-((((D6*C15)*A15)*F6)/I15)</f>
        <v>383.15595420956998</v>
      </c>
      <c r="K15" s="124">
        <f>(G6-J15)/G6</f>
        <v>0.16705227345745655</v>
      </c>
      <c r="L15" s="125" t="str">
        <f t="shared" si="0"/>
        <v>WELL 3</v>
      </c>
      <c r="M15" s="120" t="str">
        <f t="shared" si="0"/>
        <v>PD1</v>
      </c>
      <c r="N15" s="108"/>
      <c r="O15" s="108"/>
      <c r="P15" s="108"/>
      <c r="Q15" s="108"/>
      <c r="IG15" s="108"/>
      <c r="IH15" s="108"/>
      <c r="II15" s="108"/>
      <c r="IJ15" s="108"/>
      <c r="IK15" s="108"/>
      <c r="IL15" s="108"/>
      <c r="IM15" s="108"/>
      <c r="IN15" s="108"/>
      <c r="IO15" s="108"/>
      <c r="IP15" s="108"/>
      <c r="IQ15" s="108"/>
      <c r="IR15" s="108"/>
      <c r="IS15" s="108"/>
      <c r="IT15" s="108"/>
      <c r="IU15" s="108"/>
      <c r="IV15" s="108"/>
    </row>
    <row r="16" spans="1:256" s="20" customFormat="1" ht="12.75" customHeight="1">
      <c r="A16" s="437">
        <v>1000</v>
      </c>
      <c r="B16" s="120">
        <f>D7</f>
        <v>1.732</v>
      </c>
      <c r="C16" s="437">
        <v>12.9</v>
      </c>
      <c r="D16" s="120">
        <f>F7</f>
        <v>25</v>
      </c>
      <c r="E16" s="438">
        <v>0.05</v>
      </c>
      <c r="F16" s="123">
        <f>M7*E16</f>
        <v>22.816408000000003</v>
      </c>
      <c r="G16" s="121">
        <f>(((B16*C16)*A16)*D16)/F16</f>
        <v>24481.066432542753</v>
      </c>
      <c r="H16" s="440">
        <v>8</v>
      </c>
      <c r="I16" s="440">
        <v>16510</v>
      </c>
      <c r="J16" s="121">
        <f>M7-((((D7*C16)*A16)*F7)/I16)</f>
        <v>422.49593710478501</v>
      </c>
      <c r="K16" s="124">
        <f>(G7-J16)/G7</f>
        <v>8.1530571511336927E-2</v>
      </c>
      <c r="L16" s="125" t="str">
        <f t="shared" si="0"/>
        <v>WELL 4</v>
      </c>
      <c r="M16" s="120" t="str">
        <f t="shared" si="0"/>
        <v>PD2</v>
      </c>
      <c r="N16" s="108"/>
      <c r="O16" s="108"/>
      <c r="P16" s="108"/>
      <c r="Q16" s="108"/>
      <c r="IG16" s="108"/>
      <c r="IH16" s="108"/>
      <c r="II16" s="108"/>
      <c r="IJ16" s="108"/>
      <c r="IK16" s="108"/>
      <c r="IL16" s="108"/>
      <c r="IM16" s="108"/>
      <c r="IN16" s="108"/>
      <c r="IO16" s="108"/>
      <c r="IP16" s="108"/>
      <c r="IQ16" s="108"/>
      <c r="IR16" s="108"/>
      <c r="IS16" s="108"/>
      <c r="IT16" s="108"/>
      <c r="IU16" s="108"/>
      <c r="IV16" s="108"/>
    </row>
    <row r="17" spans="1:256" s="20" customFormat="1" ht="12.75" customHeight="1">
      <c r="A17" s="437">
        <v>1000</v>
      </c>
      <c r="B17" s="120">
        <f>D8</f>
        <v>1.732</v>
      </c>
      <c r="C17" s="437">
        <v>12.9</v>
      </c>
      <c r="D17" s="120">
        <f>F8</f>
        <v>25</v>
      </c>
      <c r="E17" s="438">
        <v>0.05</v>
      </c>
      <c r="F17" s="123">
        <f>M8*E17</f>
        <v>22.908204000000001</v>
      </c>
      <c r="G17" s="121">
        <f>(((B17*C17)*A17)*D17)/F17</f>
        <v>24382.967778704955</v>
      </c>
      <c r="H17" s="440">
        <v>8</v>
      </c>
      <c r="I17" s="440">
        <v>16510</v>
      </c>
      <c r="J17" s="121">
        <f>M8-((((D8*C17)*A17)*F8)/I17)</f>
        <v>424.331857104785</v>
      </c>
      <c r="K17" s="124">
        <f>(G8-J17)/G8</f>
        <v>7.7539441076554347E-2</v>
      </c>
      <c r="L17" s="125" t="str">
        <f t="shared" si="0"/>
        <v>WELL 5</v>
      </c>
      <c r="M17" s="120" t="str">
        <f t="shared" si="0"/>
        <v>PD3</v>
      </c>
      <c r="N17" s="108"/>
      <c r="O17" s="108"/>
      <c r="P17" s="108"/>
      <c r="Q17" s="108"/>
      <c r="IG17" s="108"/>
      <c r="IH17" s="108"/>
      <c r="II17" s="108"/>
      <c r="IJ17" s="108"/>
      <c r="IK17" s="108"/>
      <c r="IL17" s="108"/>
      <c r="IM17" s="108"/>
      <c r="IN17" s="108"/>
      <c r="IO17" s="108"/>
      <c r="IP17" s="108"/>
      <c r="IQ17" s="108"/>
      <c r="IR17" s="108"/>
      <c r="IS17" s="108"/>
      <c r="IT17" s="108"/>
      <c r="IU17" s="108"/>
      <c r="IV17" s="108"/>
    </row>
    <row r="18" spans="1:256" ht="12.75" customHeight="1">
      <c r="A18" s="18"/>
      <c r="B18" s="18"/>
      <c r="C18" s="18"/>
      <c r="D18" s="18"/>
      <c r="E18" s="18"/>
      <c r="F18" s="18"/>
      <c r="G18" s="18"/>
      <c r="H18" s="18"/>
      <c r="I18" s="18"/>
      <c r="J18" s="18"/>
      <c r="K18" s="18"/>
      <c r="L18" s="25"/>
      <c r="M18" s="18"/>
      <c r="N18" s="18"/>
      <c r="O18" s="18"/>
      <c r="P18" s="18"/>
      <c r="Q18" s="18"/>
    </row>
    <row r="19" spans="1:256" ht="12.75" customHeight="1">
      <c r="A19" s="108"/>
      <c r="B19" s="108"/>
      <c r="C19" s="108"/>
      <c r="D19" s="108"/>
      <c r="E19" s="108"/>
      <c r="F19" s="108"/>
      <c r="G19" s="108"/>
      <c r="H19" s="108"/>
      <c r="I19" s="108"/>
      <c r="J19" s="108"/>
      <c r="K19" s="108"/>
      <c r="L19" s="107"/>
      <c r="M19" s="18"/>
      <c r="N19" s="18"/>
      <c r="O19" s="18"/>
      <c r="P19" s="18"/>
      <c r="Q19" s="18"/>
    </row>
    <row r="20" spans="1:256" ht="12.75" customHeight="1">
      <c r="A20" s="107"/>
      <c r="B20" s="126" t="s">
        <v>250</v>
      </c>
      <c r="C20" s="126" t="s">
        <v>251</v>
      </c>
      <c r="D20" s="20"/>
      <c r="E20" s="107"/>
      <c r="F20" s="107"/>
      <c r="G20" s="127" t="s">
        <v>4</v>
      </c>
      <c r="H20" s="127" t="s">
        <v>5</v>
      </c>
      <c r="I20" s="107"/>
      <c r="J20" s="107"/>
      <c r="K20" s="108"/>
      <c r="L20" s="107"/>
      <c r="M20" s="18"/>
      <c r="N20" s="18"/>
      <c r="O20" s="18"/>
      <c r="P20" s="18"/>
      <c r="Q20" s="18"/>
    </row>
    <row r="21" spans="1:256" ht="12.75" customHeight="1">
      <c r="A21" s="128" t="s">
        <v>252</v>
      </c>
      <c r="B21" s="128" t="s">
        <v>34</v>
      </c>
      <c r="C21" s="128" t="s">
        <v>34</v>
      </c>
      <c r="D21" s="20"/>
      <c r="E21" s="107"/>
      <c r="F21" s="129"/>
      <c r="G21" s="130">
        <v>18</v>
      </c>
      <c r="H21" s="130">
        <v>1620</v>
      </c>
      <c r="I21" s="131"/>
      <c r="J21" s="107"/>
      <c r="K21" s="108"/>
      <c r="L21" s="107"/>
      <c r="M21" s="18"/>
      <c r="N21" s="18"/>
      <c r="O21" s="18"/>
      <c r="P21" s="18"/>
      <c r="Q21" s="18"/>
    </row>
    <row r="22" spans="1:256" ht="12.75" customHeight="1">
      <c r="A22" s="120">
        <v>2</v>
      </c>
      <c r="B22" s="120">
        <v>3.4</v>
      </c>
      <c r="C22" s="120">
        <v>12</v>
      </c>
      <c r="D22" s="131"/>
      <c r="E22" s="107"/>
      <c r="F22" s="129"/>
      <c r="G22" s="130">
        <v>16</v>
      </c>
      <c r="H22" s="130">
        <v>2580</v>
      </c>
      <c r="I22" s="131"/>
      <c r="J22" s="107"/>
      <c r="K22" s="108"/>
      <c r="L22" s="107"/>
      <c r="M22" s="18"/>
      <c r="N22" s="18"/>
      <c r="O22" s="18"/>
      <c r="P22" s="18"/>
      <c r="Q22" s="18"/>
    </row>
    <row r="23" spans="1:256" ht="12.75" customHeight="1">
      <c r="A23" s="120">
        <v>3</v>
      </c>
      <c r="B23" s="120">
        <v>4.8</v>
      </c>
      <c r="C23" s="120">
        <v>17</v>
      </c>
      <c r="D23" s="131"/>
      <c r="E23" s="107"/>
      <c r="F23" s="129"/>
      <c r="G23" s="130">
        <v>14</v>
      </c>
      <c r="H23" s="130">
        <v>4110</v>
      </c>
      <c r="I23" s="131"/>
      <c r="J23" s="107"/>
      <c r="K23" s="108"/>
      <c r="L23" s="107"/>
      <c r="M23" s="18"/>
      <c r="N23" s="18"/>
      <c r="O23" s="18"/>
      <c r="P23" s="18"/>
      <c r="Q23" s="18"/>
    </row>
    <row r="24" spans="1:256" ht="12.75" customHeight="1">
      <c r="A24" s="120">
        <v>5</v>
      </c>
      <c r="B24" s="120">
        <v>7.6</v>
      </c>
      <c r="C24" s="120">
        <v>28</v>
      </c>
      <c r="D24" s="131"/>
      <c r="E24" s="107"/>
      <c r="F24" s="129"/>
      <c r="G24" s="130">
        <v>12</v>
      </c>
      <c r="H24" s="130">
        <v>6530</v>
      </c>
      <c r="I24" s="131"/>
      <c r="J24" s="107"/>
      <c r="K24" s="108"/>
      <c r="L24" s="107"/>
      <c r="M24" s="18"/>
      <c r="N24" s="18"/>
      <c r="O24" s="18"/>
      <c r="P24" s="18"/>
      <c r="Q24" s="18"/>
    </row>
    <row r="25" spans="1:256" ht="12.75" customHeight="1">
      <c r="A25" s="132">
        <v>7.5</v>
      </c>
      <c r="B25" s="120">
        <v>11</v>
      </c>
      <c r="C25" s="120">
        <v>40</v>
      </c>
      <c r="D25" s="131"/>
      <c r="E25" s="107"/>
      <c r="F25" s="129"/>
      <c r="G25" s="130">
        <v>10</v>
      </c>
      <c r="H25" s="130">
        <v>10380</v>
      </c>
      <c r="I25" s="131"/>
      <c r="J25" s="107"/>
      <c r="K25" s="108"/>
      <c r="L25" s="107"/>
      <c r="M25" s="18"/>
      <c r="N25" s="18"/>
      <c r="O25" s="18"/>
      <c r="P25" s="18"/>
      <c r="Q25" s="18"/>
    </row>
    <row r="26" spans="1:256" ht="12.75" customHeight="1">
      <c r="A26" s="120">
        <v>10</v>
      </c>
      <c r="B26" s="120">
        <v>14</v>
      </c>
      <c r="C26" s="120">
        <v>50</v>
      </c>
      <c r="D26" s="131"/>
      <c r="E26" s="107"/>
      <c r="F26" s="129"/>
      <c r="G26" s="130">
        <v>8</v>
      </c>
      <c r="H26" s="130">
        <v>16510</v>
      </c>
      <c r="I26" s="131"/>
      <c r="J26" s="107"/>
      <c r="K26" s="108"/>
      <c r="L26" s="107"/>
      <c r="M26" s="18"/>
      <c r="N26" s="18"/>
      <c r="O26" s="18"/>
      <c r="P26" s="18"/>
      <c r="Q26" s="18"/>
    </row>
    <row r="27" spans="1:256" ht="12.75" customHeight="1">
      <c r="A27" s="120">
        <v>15</v>
      </c>
      <c r="B27" s="120">
        <v>21</v>
      </c>
      <c r="C27" s="120"/>
      <c r="D27" s="131"/>
      <c r="E27" s="107"/>
      <c r="F27" s="129"/>
      <c r="G27" s="130">
        <v>6</v>
      </c>
      <c r="H27" s="130">
        <v>26240</v>
      </c>
      <c r="I27" s="131"/>
      <c r="J27" s="107"/>
      <c r="K27" s="108"/>
      <c r="L27" s="107"/>
      <c r="M27" s="18"/>
      <c r="N27" s="18"/>
      <c r="O27" s="18"/>
      <c r="P27" s="18"/>
      <c r="Q27" s="18"/>
    </row>
    <row r="28" spans="1:256" ht="12.75" customHeight="1">
      <c r="A28" s="120">
        <v>20</v>
      </c>
      <c r="B28" s="120">
        <v>27</v>
      </c>
      <c r="C28" s="120"/>
      <c r="D28" s="131"/>
      <c r="E28" s="107"/>
      <c r="F28" s="129"/>
      <c r="G28" s="130">
        <v>4</v>
      </c>
      <c r="H28" s="130">
        <v>41740</v>
      </c>
      <c r="I28" s="131"/>
      <c r="J28" s="107"/>
      <c r="K28" s="108"/>
      <c r="L28" s="107"/>
      <c r="M28" s="18"/>
      <c r="N28" s="18"/>
      <c r="O28" s="18"/>
      <c r="P28" s="18"/>
      <c r="Q28" s="18"/>
    </row>
    <row r="29" spans="1:256" ht="12.75" customHeight="1">
      <c r="A29" s="120">
        <v>25</v>
      </c>
      <c r="B29" s="120">
        <v>34</v>
      </c>
      <c r="C29" s="120"/>
      <c r="D29" s="131"/>
      <c r="E29" s="107"/>
      <c r="F29" s="129"/>
      <c r="G29" s="130">
        <v>3</v>
      </c>
      <c r="H29" s="130">
        <v>52620</v>
      </c>
      <c r="I29" s="131"/>
      <c r="J29" s="107"/>
      <c r="K29" s="108"/>
      <c r="L29" s="107"/>
      <c r="M29" s="18"/>
      <c r="N29" s="18"/>
      <c r="O29" s="18"/>
      <c r="P29" s="18"/>
      <c r="Q29" s="18"/>
    </row>
    <row r="30" spans="1:256" ht="12.75" customHeight="1">
      <c r="A30" s="120">
        <v>30</v>
      </c>
      <c r="B30" s="120">
        <v>40</v>
      </c>
      <c r="C30" s="120"/>
      <c r="D30" s="131"/>
      <c r="E30" s="107"/>
      <c r="F30" s="129"/>
      <c r="G30" s="130">
        <v>2</v>
      </c>
      <c r="H30" s="130">
        <v>66360</v>
      </c>
      <c r="I30" s="131"/>
      <c r="J30" s="107"/>
      <c r="K30" s="108"/>
      <c r="L30" s="107"/>
      <c r="M30" s="18"/>
      <c r="N30" s="18"/>
      <c r="O30" s="18"/>
      <c r="P30" s="18"/>
      <c r="Q30" s="18"/>
    </row>
    <row r="31" spans="1:256" ht="12.75" customHeight="1">
      <c r="A31" s="120">
        <v>40</v>
      </c>
      <c r="B31" s="120">
        <v>52</v>
      </c>
      <c r="C31" s="120"/>
      <c r="D31" s="131"/>
      <c r="E31" s="107"/>
      <c r="F31" s="129"/>
      <c r="G31" s="130">
        <v>1</v>
      </c>
      <c r="H31" s="130">
        <v>83690</v>
      </c>
      <c r="I31" s="133" t="s">
        <v>39</v>
      </c>
      <c r="J31" s="134" t="s">
        <v>40</v>
      </c>
      <c r="K31" s="108"/>
      <c r="L31" s="107"/>
      <c r="M31" s="18"/>
      <c r="N31" s="18"/>
      <c r="O31" s="18"/>
      <c r="P31" s="18"/>
      <c r="Q31" s="18"/>
    </row>
    <row r="32" spans="1:256" ht="12.75" customHeight="1">
      <c r="A32" s="120">
        <v>50</v>
      </c>
      <c r="B32" s="120">
        <v>65</v>
      </c>
      <c r="C32" s="120"/>
      <c r="D32" s="131"/>
      <c r="E32" s="107"/>
      <c r="F32" s="129"/>
      <c r="G32" s="135" t="s">
        <v>18</v>
      </c>
      <c r="H32" s="130">
        <v>105600</v>
      </c>
      <c r="I32" s="120">
        <v>211200</v>
      </c>
      <c r="J32" s="120">
        <v>316800</v>
      </c>
      <c r="K32" s="108"/>
      <c r="L32" s="107"/>
      <c r="M32" s="18"/>
      <c r="N32" s="18"/>
      <c r="O32" s="18"/>
      <c r="P32" s="18"/>
      <c r="Q32" s="18"/>
    </row>
    <row r="33" spans="1:240" s="184" customFormat="1" ht="12.75" customHeight="1">
      <c r="A33" s="424"/>
      <c r="B33" s="424"/>
      <c r="C33" s="424"/>
      <c r="D33" s="425"/>
      <c r="E33" s="425"/>
      <c r="F33" s="426"/>
      <c r="G33" s="427" t="s">
        <v>20</v>
      </c>
      <c r="H33" s="300">
        <v>133100</v>
      </c>
      <c r="I33" s="428">
        <v>266200</v>
      </c>
      <c r="J33" s="428">
        <v>399300</v>
      </c>
      <c r="L33" s="429"/>
      <c r="R33" s="430"/>
      <c r="S33" s="430"/>
      <c r="T33" s="430"/>
      <c r="U33" s="430"/>
      <c r="V33" s="430"/>
      <c r="W33" s="430"/>
      <c r="X33" s="430"/>
      <c r="Y33" s="430"/>
      <c r="Z33" s="430"/>
      <c r="AA33" s="430"/>
      <c r="AB33" s="430"/>
      <c r="AC33" s="430"/>
      <c r="AD33" s="430"/>
      <c r="AE33" s="430"/>
      <c r="AF33" s="430"/>
      <c r="AG33" s="430"/>
      <c r="AH33" s="430"/>
      <c r="AI33" s="430"/>
      <c r="AJ33" s="430"/>
      <c r="AK33" s="430"/>
      <c r="AL33" s="430"/>
      <c r="AM33" s="430"/>
      <c r="AN33" s="430"/>
      <c r="AO33" s="430"/>
      <c r="AP33" s="430"/>
      <c r="AQ33" s="430"/>
      <c r="AR33" s="430"/>
      <c r="AS33" s="430"/>
      <c r="AT33" s="430"/>
      <c r="AU33" s="430"/>
      <c r="AV33" s="430"/>
      <c r="AW33" s="430"/>
      <c r="AX33" s="430"/>
      <c r="AY33" s="430"/>
      <c r="AZ33" s="430"/>
      <c r="BA33" s="430"/>
      <c r="BB33" s="430"/>
      <c r="BC33" s="430"/>
      <c r="BD33" s="430"/>
      <c r="BE33" s="430"/>
      <c r="BF33" s="430"/>
      <c r="BG33" s="430"/>
      <c r="BH33" s="430"/>
      <c r="BI33" s="430"/>
      <c r="BJ33" s="430"/>
      <c r="BK33" s="430"/>
      <c r="BL33" s="430"/>
      <c r="BM33" s="430"/>
      <c r="BN33" s="430"/>
      <c r="BO33" s="430"/>
      <c r="BP33" s="430"/>
      <c r="BQ33" s="430"/>
      <c r="BR33" s="430"/>
      <c r="BS33" s="430"/>
      <c r="BT33" s="430"/>
      <c r="BU33" s="430"/>
      <c r="BV33" s="430"/>
      <c r="BW33" s="430"/>
      <c r="BX33" s="430"/>
      <c r="BY33" s="430"/>
      <c r="BZ33" s="430"/>
      <c r="CA33" s="430"/>
      <c r="CB33" s="430"/>
      <c r="CC33" s="430"/>
      <c r="CD33" s="430"/>
      <c r="CE33" s="430"/>
      <c r="CF33" s="430"/>
      <c r="CG33" s="430"/>
      <c r="CH33" s="430"/>
      <c r="CI33" s="430"/>
      <c r="CJ33" s="430"/>
      <c r="CK33" s="430"/>
      <c r="CL33" s="430"/>
      <c r="CM33" s="430"/>
      <c r="CN33" s="430"/>
      <c r="CO33" s="430"/>
      <c r="CP33" s="430"/>
      <c r="CQ33" s="430"/>
      <c r="CR33" s="430"/>
      <c r="CS33" s="430"/>
      <c r="CT33" s="430"/>
      <c r="CU33" s="430"/>
      <c r="CV33" s="430"/>
      <c r="CW33" s="430"/>
      <c r="CX33" s="430"/>
      <c r="CY33" s="430"/>
      <c r="CZ33" s="430"/>
      <c r="DA33" s="430"/>
      <c r="DB33" s="430"/>
      <c r="DC33" s="430"/>
      <c r="DD33" s="430"/>
      <c r="DE33" s="430"/>
      <c r="DF33" s="430"/>
      <c r="DG33" s="430"/>
      <c r="DH33" s="430"/>
      <c r="DI33" s="430"/>
      <c r="DJ33" s="430"/>
      <c r="DK33" s="430"/>
      <c r="DL33" s="430"/>
      <c r="DM33" s="430"/>
      <c r="DN33" s="430"/>
      <c r="DO33" s="430"/>
      <c r="DP33" s="430"/>
      <c r="DQ33" s="430"/>
      <c r="DR33" s="430"/>
      <c r="DS33" s="430"/>
      <c r="DT33" s="430"/>
      <c r="DU33" s="430"/>
      <c r="DV33" s="430"/>
      <c r="DW33" s="430"/>
      <c r="DX33" s="430"/>
      <c r="DY33" s="430"/>
      <c r="DZ33" s="430"/>
      <c r="EA33" s="430"/>
      <c r="EB33" s="430"/>
      <c r="EC33" s="430"/>
      <c r="ED33" s="430"/>
      <c r="EE33" s="430"/>
      <c r="EF33" s="430"/>
      <c r="EG33" s="430"/>
      <c r="EH33" s="430"/>
      <c r="EI33" s="430"/>
      <c r="EJ33" s="430"/>
      <c r="EK33" s="430"/>
      <c r="EL33" s="430"/>
      <c r="EM33" s="430"/>
      <c r="EN33" s="430"/>
      <c r="EO33" s="430"/>
      <c r="EP33" s="430"/>
      <c r="EQ33" s="430"/>
      <c r="ER33" s="430"/>
      <c r="ES33" s="430"/>
      <c r="ET33" s="430"/>
      <c r="EU33" s="430"/>
      <c r="EV33" s="430"/>
      <c r="EW33" s="430"/>
      <c r="EX33" s="430"/>
      <c r="EY33" s="430"/>
      <c r="EZ33" s="430"/>
      <c r="FA33" s="430"/>
      <c r="FB33" s="430"/>
      <c r="FC33" s="430"/>
      <c r="FD33" s="430"/>
      <c r="FE33" s="430"/>
      <c r="FF33" s="430"/>
      <c r="FG33" s="430"/>
      <c r="FH33" s="430"/>
      <c r="FI33" s="430"/>
      <c r="FJ33" s="430"/>
      <c r="FK33" s="430"/>
      <c r="FL33" s="430"/>
      <c r="FM33" s="430"/>
      <c r="FN33" s="430"/>
      <c r="FO33" s="430"/>
      <c r="FP33" s="430"/>
      <c r="FQ33" s="430"/>
      <c r="FR33" s="430"/>
      <c r="FS33" s="430"/>
      <c r="FT33" s="430"/>
      <c r="FU33" s="430"/>
      <c r="FV33" s="430"/>
      <c r="FW33" s="430"/>
      <c r="FX33" s="430"/>
      <c r="FY33" s="430"/>
      <c r="FZ33" s="430"/>
      <c r="GA33" s="430"/>
      <c r="GB33" s="430"/>
      <c r="GC33" s="430"/>
      <c r="GD33" s="430"/>
      <c r="GE33" s="430"/>
      <c r="GF33" s="430"/>
      <c r="GG33" s="430"/>
      <c r="GH33" s="430"/>
      <c r="GI33" s="430"/>
      <c r="GJ33" s="430"/>
      <c r="GK33" s="430"/>
      <c r="GL33" s="430"/>
      <c r="GM33" s="430"/>
      <c r="GN33" s="430"/>
      <c r="GO33" s="430"/>
      <c r="GP33" s="430"/>
      <c r="GQ33" s="430"/>
      <c r="GR33" s="430"/>
      <c r="GS33" s="430"/>
      <c r="GT33" s="430"/>
      <c r="GU33" s="430"/>
      <c r="GV33" s="430"/>
      <c r="GW33" s="430"/>
      <c r="GX33" s="430"/>
      <c r="GY33" s="430"/>
      <c r="GZ33" s="430"/>
      <c r="HA33" s="430"/>
      <c r="HB33" s="430"/>
      <c r="HC33" s="430"/>
      <c r="HD33" s="430"/>
      <c r="HE33" s="430"/>
      <c r="HF33" s="430"/>
      <c r="HG33" s="430"/>
      <c r="HH33" s="430"/>
      <c r="HI33" s="430"/>
      <c r="HJ33" s="430"/>
      <c r="HK33" s="430"/>
      <c r="HL33" s="430"/>
      <c r="HM33" s="430"/>
      <c r="HN33" s="430"/>
      <c r="HO33" s="430"/>
      <c r="HP33" s="430"/>
      <c r="HQ33" s="430"/>
      <c r="HR33" s="430"/>
      <c r="HS33" s="430"/>
      <c r="HT33" s="430"/>
      <c r="HU33" s="430"/>
      <c r="HV33" s="430"/>
      <c r="HW33" s="430"/>
      <c r="HX33" s="430"/>
      <c r="HY33" s="430"/>
      <c r="HZ33" s="430"/>
      <c r="IA33" s="430"/>
      <c r="IB33" s="430"/>
      <c r="IC33" s="430"/>
      <c r="ID33" s="430"/>
      <c r="IE33" s="430"/>
      <c r="IF33" s="430"/>
    </row>
    <row r="34" spans="1:240" s="184" customFormat="1" ht="12.75" customHeight="1">
      <c r="A34" s="431"/>
      <c r="B34" s="431" t="s">
        <v>253</v>
      </c>
      <c r="C34" s="431" t="s">
        <v>254</v>
      </c>
      <c r="D34" s="431" t="s">
        <v>255</v>
      </c>
      <c r="E34" s="431" t="s">
        <v>256</v>
      </c>
      <c r="F34" s="432"/>
      <c r="G34" s="300" t="s">
        <v>22</v>
      </c>
      <c r="H34" s="300">
        <v>167800</v>
      </c>
      <c r="I34" s="428">
        <v>335600</v>
      </c>
      <c r="J34" s="428">
        <v>503400</v>
      </c>
      <c r="L34" s="429"/>
      <c r="R34" s="430"/>
      <c r="S34" s="430"/>
      <c r="T34" s="430"/>
      <c r="U34" s="430"/>
      <c r="V34" s="430"/>
      <c r="W34" s="430"/>
      <c r="X34" s="430"/>
      <c r="Y34" s="430"/>
      <c r="Z34" s="430"/>
      <c r="AA34" s="430"/>
      <c r="AB34" s="430"/>
      <c r="AC34" s="430"/>
      <c r="AD34" s="430"/>
      <c r="AE34" s="430"/>
      <c r="AF34" s="430"/>
      <c r="AG34" s="430"/>
      <c r="AH34" s="430"/>
      <c r="AI34" s="430"/>
      <c r="AJ34" s="430"/>
      <c r="AK34" s="430"/>
      <c r="AL34" s="430"/>
      <c r="AM34" s="430"/>
      <c r="AN34" s="430"/>
      <c r="AO34" s="430"/>
      <c r="AP34" s="430"/>
      <c r="AQ34" s="430"/>
      <c r="AR34" s="430"/>
      <c r="AS34" s="430"/>
      <c r="AT34" s="430"/>
      <c r="AU34" s="430"/>
      <c r="AV34" s="430"/>
      <c r="AW34" s="430"/>
      <c r="AX34" s="430"/>
      <c r="AY34" s="430"/>
      <c r="AZ34" s="430"/>
      <c r="BA34" s="430"/>
      <c r="BB34" s="430"/>
      <c r="BC34" s="430"/>
      <c r="BD34" s="430"/>
      <c r="BE34" s="430"/>
      <c r="BF34" s="430"/>
      <c r="BG34" s="430"/>
      <c r="BH34" s="430"/>
      <c r="BI34" s="430"/>
      <c r="BJ34" s="430"/>
      <c r="BK34" s="430"/>
      <c r="BL34" s="430"/>
      <c r="BM34" s="430"/>
      <c r="BN34" s="430"/>
      <c r="BO34" s="430"/>
      <c r="BP34" s="430"/>
      <c r="BQ34" s="430"/>
      <c r="BR34" s="430"/>
      <c r="BS34" s="430"/>
      <c r="BT34" s="430"/>
      <c r="BU34" s="430"/>
      <c r="BV34" s="430"/>
      <c r="BW34" s="430"/>
      <c r="BX34" s="430"/>
      <c r="BY34" s="430"/>
      <c r="BZ34" s="430"/>
      <c r="CA34" s="430"/>
      <c r="CB34" s="430"/>
      <c r="CC34" s="430"/>
      <c r="CD34" s="430"/>
      <c r="CE34" s="430"/>
      <c r="CF34" s="430"/>
      <c r="CG34" s="430"/>
      <c r="CH34" s="430"/>
      <c r="CI34" s="430"/>
      <c r="CJ34" s="430"/>
      <c r="CK34" s="430"/>
      <c r="CL34" s="430"/>
      <c r="CM34" s="430"/>
      <c r="CN34" s="430"/>
      <c r="CO34" s="430"/>
      <c r="CP34" s="430"/>
      <c r="CQ34" s="430"/>
      <c r="CR34" s="430"/>
      <c r="CS34" s="430"/>
      <c r="CT34" s="430"/>
      <c r="CU34" s="430"/>
      <c r="CV34" s="430"/>
      <c r="CW34" s="430"/>
      <c r="CX34" s="430"/>
      <c r="CY34" s="430"/>
      <c r="CZ34" s="430"/>
      <c r="DA34" s="430"/>
      <c r="DB34" s="430"/>
      <c r="DC34" s="430"/>
      <c r="DD34" s="430"/>
      <c r="DE34" s="430"/>
      <c r="DF34" s="430"/>
      <c r="DG34" s="430"/>
      <c r="DH34" s="430"/>
      <c r="DI34" s="430"/>
      <c r="DJ34" s="430"/>
      <c r="DK34" s="430"/>
      <c r="DL34" s="430"/>
      <c r="DM34" s="430"/>
      <c r="DN34" s="430"/>
      <c r="DO34" s="430"/>
      <c r="DP34" s="430"/>
      <c r="DQ34" s="430"/>
      <c r="DR34" s="430"/>
      <c r="DS34" s="430"/>
      <c r="DT34" s="430"/>
      <c r="DU34" s="430"/>
      <c r="DV34" s="430"/>
      <c r="DW34" s="430"/>
      <c r="DX34" s="430"/>
      <c r="DY34" s="430"/>
      <c r="DZ34" s="430"/>
      <c r="EA34" s="430"/>
      <c r="EB34" s="430"/>
      <c r="EC34" s="430"/>
      <c r="ED34" s="430"/>
      <c r="EE34" s="430"/>
      <c r="EF34" s="430"/>
      <c r="EG34" s="430"/>
      <c r="EH34" s="430"/>
      <c r="EI34" s="430"/>
      <c r="EJ34" s="430"/>
      <c r="EK34" s="430"/>
      <c r="EL34" s="430"/>
      <c r="EM34" s="430"/>
      <c r="EN34" s="430"/>
      <c r="EO34" s="430"/>
      <c r="EP34" s="430"/>
      <c r="EQ34" s="430"/>
      <c r="ER34" s="430"/>
      <c r="ES34" s="430"/>
      <c r="ET34" s="430"/>
      <c r="EU34" s="430"/>
      <c r="EV34" s="430"/>
      <c r="EW34" s="430"/>
      <c r="EX34" s="430"/>
      <c r="EY34" s="430"/>
      <c r="EZ34" s="430"/>
      <c r="FA34" s="430"/>
      <c r="FB34" s="430"/>
      <c r="FC34" s="430"/>
      <c r="FD34" s="430"/>
      <c r="FE34" s="430"/>
      <c r="FF34" s="430"/>
      <c r="FG34" s="430"/>
      <c r="FH34" s="430"/>
      <c r="FI34" s="430"/>
      <c r="FJ34" s="430"/>
      <c r="FK34" s="430"/>
      <c r="FL34" s="430"/>
      <c r="FM34" s="430"/>
      <c r="FN34" s="430"/>
      <c r="FO34" s="430"/>
      <c r="FP34" s="430"/>
      <c r="FQ34" s="430"/>
      <c r="FR34" s="430"/>
      <c r="FS34" s="430"/>
      <c r="FT34" s="430"/>
      <c r="FU34" s="430"/>
      <c r="FV34" s="430"/>
      <c r="FW34" s="430"/>
      <c r="FX34" s="430"/>
      <c r="FY34" s="430"/>
      <c r="FZ34" s="430"/>
      <c r="GA34" s="430"/>
      <c r="GB34" s="430"/>
      <c r="GC34" s="430"/>
      <c r="GD34" s="430"/>
      <c r="GE34" s="430"/>
      <c r="GF34" s="430"/>
      <c r="GG34" s="430"/>
      <c r="GH34" s="430"/>
      <c r="GI34" s="430"/>
      <c r="GJ34" s="430"/>
      <c r="GK34" s="430"/>
      <c r="GL34" s="430"/>
      <c r="GM34" s="430"/>
      <c r="GN34" s="430"/>
      <c r="GO34" s="430"/>
      <c r="GP34" s="430"/>
      <c r="GQ34" s="430"/>
      <c r="GR34" s="430"/>
      <c r="GS34" s="430"/>
      <c r="GT34" s="430"/>
      <c r="GU34" s="430"/>
      <c r="GV34" s="430"/>
      <c r="GW34" s="430"/>
      <c r="GX34" s="430"/>
      <c r="GY34" s="430"/>
      <c r="GZ34" s="430"/>
      <c r="HA34" s="430"/>
      <c r="HB34" s="430"/>
      <c r="HC34" s="430"/>
      <c r="HD34" s="430"/>
      <c r="HE34" s="430"/>
      <c r="HF34" s="430"/>
      <c r="HG34" s="430"/>
      <c r="HH34" s="430"/>
      <c r="HI34" s="430"/>
      <c r="HJ34" s="430"/>
      <c r="HK34" s="430"/>
      <c r="HL34" s="430"/>
      <c r="HM34" s="430"/>
      <c r="HN34" s="430"/>
      <c r="HO34" s="430"/>
      <c r="HP34" s="430"/>
      <c r="HQ34" s="430"/>
      <c r="HR34" s="430"/>
      <c r="HS34" s="430"/>
      <c r="HT34" s="430"/>
      <c r="HU34" s="430"/>
      <c r="HV34" s="430"/>
      <c r="HW34" s="430"/>
      <c r="HX34" s="430"/>
      <c r="HY34" s="430"/>
      <c r="HZ34" s="430"/>
      <c r="IA34" s="430"/>
      <c r="IB34" s="430"/>
      <c r="IC34" s="430"/>
      <c r="ID34" s="430"/>
      <c r="IE34" s="430"/>
      <c r="IF34" s="430"/>
    </row>
    <row r="35" spans="1:240" s="184" customFormat="1" ht="12.75" customHeight="1">
      <c r="A35" s="431" t="s">
        <v>257</v>
      </c>
      <c r="B35" s="433">
        <v>99</v>
      </c>
      <c r="C35" s="433">
        <v>104.5</v>
      </c>
      <c r="D35" s="433">
        <v>115.5</v>
      </c>
      <c r="E35" s="433">
        <v>121</v>
      </c>
      <c r="F35" s="432"/>
      <c r="G35" s="300" t="s">
        <v>23</v>
      </c>
      <c r="H35" s="300">
        <v>211600</v>
      </c>
      <c r="I35" s="428">
        <v>423200</v>
      </c>
      <c r="J35" s="428">
        <v>634800</v>
      </c>
      <c r="L35" s="429"/>
      <c r="R35" s="430"/>
      <c r="S35" s="430"/>
      <c r="T35" s="430"/>
      <c r="U35" s="430"/>
      <c r="V35" s="430"/>
      <c r="W35" s="430"/>
      <c r="X35" s="430"/>
      <c r="Y35" s="430"/>
      <c r="Z35" s="430"/>
      <c r="AA35" s="430"/>
      <c r="AB35" s="430"/>
      <c r="AC35" s="430"/>
      <c r="AD35" s="430"/>
      <c r="AE35" s="430"/>
      <c r="AF35" s="430"/>
      <c r="AG35" s="430"/>
      <c r="AH35" s="430"/>
      <c r="AI35" s="430"/>
      <c r="AJ35" s="430"/>
      <c r="AK35" s="430"/>
      <c r="AL35" s="430"/>
      <c r="AM35" s="430"/>
      <c r="AN35" s="430"/>
      <c r="AO35" s="430"/>
      <c r="AP35" s="430"/>
      <c r="AQ35" s="430"/>
      <c r="AR35" s="430"/>
      <c r="AS35" s="430"/>
      <c r="AT35" s="430"/>
      <c r="AU35" s="430"/>
      <c r="AV35" s="430"/>
      <c r="AW35" s="430"/>
      <c r="AX35" s="430"/>
      <c r="AY35" s="430"/>
      <c r="AZ35" s="430"/>
      <c r="BA35" s="430"/>
      <c r="BB35" s="430"/>
      <c r="BC35" s="430"/>
      <c r="BD35" s="430"/>
      <c r="BE35" s="430"/>
      <c r="BF35" s="430"/>
      <c r="BG35" s="430"/>
      <c r="BH35" s="430"/>
      <c r="BI35" s="430"/>
      <c r="BJ35" s="430"/>
      <c r="BK35" s="430"/>
      <c r="BL35" s="430"/>
      <c r="BM35" s="430"/>
      <c r="BN35" s="430"/>
      <c r="BO35" s="430"/>
      <c r="BP35" s="430"/>
      <c r="BQ35" s="430"/>
      <c r="BR35" s="430"/>
      <c r="BS35" s="430"/>
      <c r="BT35" s="430"/>
      <c r="BU35" s="430"/>
      <c r="BV35" s="430"/>
      <c r="BW35" s="430"/>
      <c r="BX35" s="430"/>
      <c r="BY35" s="430"/>
      <c r="BZ35" s="430"/>
      <c r="CA35" s="430"/>
      <c r="CB35" s="430"/>
      <c r="CC35" s="430"/>
      <c r="CD35" s="430"/>
      <c r="CE35" s="430"/>
      <c r="CF35" s="430"/>
      <c r="CG35" s="430"/>
      <c r="CH35" s="430"/>
      <c r="CI35" s="430"/>
      <c r="CJ35" s="430"/>
      <c r="CK35" s="430"/>
      <c r="CL35" s="430"/>
      <c r="CM35" s="430"/>
      <c r="CN35" s="430"/>
      <c r="CO35" s="430"/>
      <c r="CP35" s="430"/>
      <c r="CQ35" s="430"/>
      <c r="CR35" s="430"/>
      <c r="CS35" s="430"/>
      <c r="CT35" s="430"/>
      <c r="CU35" s="430"/>
      <c r="CV35" s="430"/>
      <c r="CW35" s="430"/>
      <c r="CX35" s="430"/>
      <c r="CY35" s="430"/>
      <c r="CZ35" s="430"/>
      <c r="DA35" s="430"/>
      <c r="DB35" s="430"/>
      <c r="DC35" s="430"/>
      <c r="DD35" s="430"/>
      <c r="DE35" s="430"/>
      <c r="DF35" s="430"/>
      <c r="DG35" s="430"/>
      <c r="DH35" s="430"/>
      <c r="DI35" s="430"/>
      <c r="DJ35" s="430"/>
      <c r="DK35" s="430"/>
      <c r="DL35" s="430"/>
      <c r="DM35" s="430"/>
      <c r="DN35" s="430"/>
      <c r="DO35" s="430"/>
      <c r="DP35" s="430"/>
      <c r="DQ35" s="430"/>
      <c r="DR35" s="430"/>
      <c r="DS35" s="430"/>
      <c r="DT35" s="430"/>
      <c r="DU35" s="430"/>
      <c r="DV35" s="430"/>
      <c r="DW35" s="430"/>
      <c r="DX35" s="430"/>
      <c r="DY35" s="430"/>
      <c r="DZ35" s="430"/>
      <c r="EA35" s="430"/>
      <c r="EB35" s="430"/>
      <c r="EC35" s="430"/>
      <c r="ED35" s="430"/>
      <c r="EE35" s="430"/>
      <c r="EF35" s="430"/>
      <c r="EG35" s="430"/>
      <c r="EH35" s="430"/>
      <c r="EI35" s="430"/>
      <c r="EJ35" s="430"/>
      <c r="EK35" s="430"/>
      <c r="EL35" s="430"/>
      <c r="EM35" s="430"/>
      <c r="EN35" s="430"/>
      <c r="EO35" s="430"/>
      <c r="EP35" s="430"/>
      <c r="EQ35" s="430"/>
      <c r="ER35" s="430"/>
      <c r="ES35" s="430"/>
      <c r="ET35" s="430"/>
      <c r="EU35" s="430"/>
      <c r="EV35" s="430"/>
      <c r="EW35" s="430"/>
      <c r="EX35" s="430"/>
      <c r="EY35" s="430"/>
      <c r="EZ35" s="430"/>
      <c r="FA35" s="430"/>
      <c r="FB35" s="430"/>
      <c r="FC35" s="430"/>
      <c r="FD35" s="430"/>
      <c r="FE35" s="430"/>
      <c r="FF35" s="430"/>
      <c r="FG35" s="430"/>
      <c r="FH35" s="430"/>
      <c r="FI35" s="430"/>
      <c r="FJ35" s="430"/>
      <c r="FK35" s="430"/>
      <c r="FL35" s="430"/>
      <c r="FM35" s="430"/>
      <c r="FN35" s="430"/>
      <c r="FO35" s="430"/>
      <c r="FP35" s="430"/>
      <c r="FQ35" s="430"/>
      <c r="FR35" s="430"/>
      <c r="FS35" s="430"/>
      <c r="FT35" s="430"/>
      <c r="FU35" s="430"/>
      <c r="FV35" s="430"/>
      <c r="FW35" s="430"/>
      <c r="FX35" s="430"/>
      <c r="FY35" s="430"/>
      <c r="FZ35" s="430"/>
      <c r="GA35" s="430"/>
      <c r="GB35" s="430"/>
      <c r="GC35" s="430"/>
      <c r="GD35" s="430"/>
      <c r="GE35" s="430"/>
      <c r="GF35" s="430"/>
      <c r="GG35" s="430"/>
      <c r="GH35" s="430"/>
      <c r="GI35" s="430"/>
      <c r="GJ35" s="430"/>
      <c r="GK35" s="430"/>
      <c r="GL35" s="430"/>
      <c r="GM35" s="430"/>
      <c r="GN35" s="430"/>
      <c r="GO35" s="430"/>
      <c r="GP35" s="430"/>
      <c r="GQ35" s="430"/>
      <c r="GR35" s="430"/>
      <c r="GS35" s="430"/>
      <c r="GT35" s="430"/>
      <c r="GU35" s="430"/>
      <c r="GV35" s="430"/>
      <c r="GW35" s="430"/>
      <c r="GX35" s="430"/>
      <c r="GY35" s="430"/>
      <c r="GZ35" s="430"/>
      <c r="HA35" s="430"/>
      <c r="HB35" s="430"/>
      <c r="HC35" s="430"/>
      <c r="HD35" s="430"/>
      <c r="HE35" s="430"/>
      <c r="HF35" s="430"/>
      <c r="HG35" s="430"/>
      <c r="HH35" s="430"/>
      <c r="HI35" s="430"/>
      <c r="HJ35" s="430"/>
      <c r="HK35" s="430"/>
      <c r="HL35" s="430"/>
      <c r="HM35" s="430"/>
      <c r="HN35" s="430"/>
      <c r="HO35" s="430"/>
      <c r="HP35" s="430"/>
      <c r="HQ35" s="430"/>
      <c r="HR35" s="430"/>
      <c r="HS35" s="430"/>
      <c r="HT35" s="430"/>
      <c r="HU35" s="430"/>
      <c r="HV35" s="430"/>
      <c r="HW35" s="430"/>
      <c r="HX35" s="430"/>
      <c r="HY35" s="430"/>
      <c r="HZ35" s="430"/>
      <c r="IA35" s="430"/>
      <c r="IB35" s="430"/>
      <c r="IC35" s="430"/>
      <c r="ID35" s="430"/>
      <c r="IE35" s="430"/>
      <c r="IF35" s="430"/>
    </row>
    <row r="36" spans="1:240" s="184" customFormat="1" ht="15.75" customHeight="1">
      <c r="A36" s="431" t="s">
        <v>258</v>
      </c>
      <c r="B36" s="433">
        <v>108</v>
      </c>
      <c r="C36" s="433">
        <v>114</v>
      </c>
      <c r="D36" s="433">
        <v>126</v>
      </c>
      <c r="E36" s="433">
        <v>132</v>
      </c>
      <c r="F36" s="432"/>
      <c r="G36" s="300">
        <v>250</v>
      </c>
      <c r="H36" s="300">
        <v>250000</v>
      </c>
      <c r="I36" s="428">
        <v>500000</v>
      </c>
      <c r="J36" s="428">
        <v>750000</v>
      </c>
      <c r="L36" s="430"/>
      <c r="R36" s="430"/>
      <c r="S36" s="430"/>
      <c r="T36" s="430"/>
      <c r="U36" s="430"/>
      <c r="V36" s="430"/>
      <c r="W36" s="430"/>
      <c r="X36" s="430"/>
      <c r="Y36" s="430"/>
      <c r="Z36" s="430"/>
      <c r="AA36" s="430"/>
      <c r="AB36" s="430"/>
      <c r="AC36" s="430"/>
      <c r="AD36" s="430"/>
      <c r="AE36" s="430"/>
      <c r="AF36" s="430"/>
      <c r="AG36" s="430"/>
      <c r="AH36" s="430"/>
      <c r="AI36" s="430"/>
      <c r="AJ36" s="430"/>
      <c r="AK36" s="430"/>
      <c r="AL36" s="430"/>
      <c r="AM36" s="430"/>
      <c r="AN36" s="430"/>
      <c r="AO36" s="430"/>
      <c r="AP36" s="430"/>
      <c r="AQ36" s="430"/>
      <c r="AR36" s="430"/>
      <c r="AS36" s="430"/>
      <c r="AT36" s="430"/>
      <c r="AU36" s="430"/>
      <c r="AV36" s="430"/>
      <c r="AW36" s="430"/>
      <c r="AX36" s="430"/>
      <c r="AY36" s="430"/>
      <c r="AZ36" s="430"/>
      <c r="BA36" s="430"/>
      <c r="BB36" s="430"/>
      <c r="BC36" s="430"/>
      <c r="BD36" s="430"/>
      <c r="BE36" s="430"/>
      <c r="BF36" s="430"/>
      <c r="BG36" s="430"/>
      <c r="BH36" s="430"/>
      <c r="BI36" s="430"/>
      <c r="BJ36" s="430"/>
      <c r="BK36" s="430"/>
      <c r="BL36" s="430"/>
      <c r="BM36" s="430"/>
      <c r="BN36" s="430"/>
      <c r="BO36" s="430"/>
      <c r="BP36" s="430"/>
      <c r="BQ36" s="430"/>
      <c r="BR36" s="430"/>
      <c r="BS36" s="430"/>
      <c r="BT36" s="430"/>
      <c r="BU36" s="430"/>
      <c r="BV36" s="430"/>
      <c r="BW36" s="430"/>
      <c r="BX36" s="430"/>
      <c r="BY36" s="430"/>
      <c r="BZ36" s="430"/>
      <c r="CA36" s="430"/>
      <c r="CB36" s="430"/>
      <c r="CC36" s="430"/>
      <c r="CD36" s="430"/>
      <c r="CE36" s="430"/>
      <c r="CF36" s="430"/>
      <c r="CG36" s="430"/>
      <c r="CH36" s="430"/>
      <c r="CI36" s="430"/>
      <c r="CJ36" s="430"/>
      <c r="CK36" s="430"/>
      <c r="CL36" s="430"/>
      <c r="CM36" s="430"/>
      <c r="CN36" s="430"/>
      <c r="CO36" s="430"/>
      <c r="CP36" s="430"/>
      <c r="CQ36" s="430"/>
      <c r="CR36" s="430"/>
      <c r="CS36" s="430"/>
      <c r="CT36" s="430"/>
      <c r="CU36" s="430"/>
      <c r="CV36" s="430"/>
      <c r="CW36" s="430"/>
      <c r="CX36" s="430"/>
      <c r="CY36" s="430"/>
      <c r="CZ36" s="430"/>
      <c r="DA36" s="430"/>
      <c r="DB36" s="430"/>
      <c r="DC36" s="430"/>
      <c r="DD36" s="430"/>
      <c r="DE36" s="430"/>
      <c r="DF36" s="430"/>
      <c r="DG36" s="430"/>
      <c r="DH36" s="430"/>
      <c r="DI36" s="430"/>
      <c r="DJ36" s="430"/>
      <c r="DK36" s="430"/>
      <c r="DL36" s="430"/>
      <c r="DM36" s="430"/>
      <c r="DN36" s="430"/>
      <c r="DO36" s="430"/>
      <c r="DP36" s="430"/>
      <c r="DQ36" s="430"/>
      <c r="DR36" s="430"/>
      <c r="DS36" s="430"/>
      <c r="DT36" s="430"/>
      <c r="DU36" s="430"/>
      <c r="DV36" s="430"/>
      <c r="DW36" s="430"/>
      <c r="DX36" s="430"/>
      <c r="DY36" s="430"/>
      <c r="DZ36" s="430"/>
      <c r="EA36" s="430"/>
      <c r="EB36" s="430"/>
      <c r="EC36" s="430"/>
      <c r="ED36" s="430"/>
      <c r="EE36" s="430"/>
      <c r="EF36" s="430"/>
      <c r="EG36" s="430"/>
      <c r="EH36" s="430"/>
      <c r="EI36" s="430"/>
      <c r="EJ36" s="430"/>
      <c r="EK36" s="430"/>
      <c r="EL36" s="430"/>
      <c r="EM36" s="430"/>
      <c r="EN36" s="430"/>
      <c r="EO36" s="430"/>
      <c r="EP36" s="430"/>
      <c r="EQ36" s="430"/>
      <c r="ER36" s="430"/>
      <c r="ES36" s="430"/>
      <c r="ET36" s="430"/>
      <c r="EU36" s="430"/>
      <c r="EV36" s="430"/>
      <c r="EW36" s="430"/>
      <c r="EX36" s="430"/>
      <c r="EY36" s="430"/>
      <c r="EZ36" s="430"/>
      <c r="FA36" s="430"/>
      <c r="FB36" s="430"/>
      <c r="FC36" s="430"/>
      <c r="FD36" s="430"/>
      <c r="FE36" s="430"/>
      <c r="FF36" s="430"/>
      <c r="FG36" s="430"/>
      <c r="FH36" s="430"/>
      <c r="FI36" s="430"/>
      <c r="FJ36" s="430"/>
      <c r="FK36" s="430"/>
      <c r="FL36" s="430"/>
      <c r="FM36" s="430"/>
      <c r="FN36" s="430"/>
      <c r="FO36" s="430"/>
      <c r="FP36" s="430"/>
      <c r="FQ36" s="430"/>
      <c r="FR36" s="430"/>
      <c r="FS36" s="430"/>
      <c r="FT36" s="430"/>
      <c r="FU36" s="430"/>
      <c r="FV36" s="430"/>
      <c r="FW36" s="430"/>
      <c r="FX36" s="430"/>
      <c r="FY36" s="430"/>
      <c r="FZ36" s="430"/>
      <c r="GA36" s="430"/>
      <c r="GB36" s="430"/>
      <c r="GC36" s="430"/>
      <c r="GD36" s="430"/>
      <c r="GE36" s="430"/>
      <c r="GF36" s="430"/>
      <c r="GG36" s="430"/>
      <c r="GH36" s="430"/>
      <c r="GI36" s="430"/>
      <c r="GJ36" s="430"/>
      <c r="GK36" s="430"/>
      <c r="GL36" s="430"/>
      <c r="GM36" s="430"/>
      <c r="GN36" s="430"/>
      <c r="GO36" s="430"/>
      <c r="GP36" s="430"/>
      <c r="GQ36" s="430"/>
      <c r="GR36" s="430"/>
      <c r="GS36" s="430"/>
      <c r="GT36" s="430"/>
      <c r="GU36" s="430"/>
      <c r="GV36" s="430"/>
      <c r="GW36" s="430"/>
      <c r="GX36" s="430"/>
      <c r="GY36" s="430"/>
      <c r="GZ36" s="430"/>
      <c r="HA36" s="430"/>
      <c r="HB36" s="430"/>
      <c r="HC36" s="430"/>
      <c r="HD36" s="430"/>
      <c r="HE36" s="430"/>
      <c r="HF36" s="430"/>
      <c r="HG36" s="430"/>
      <c r="HH36" s="430"/>
      <c r="HI36" s="430"/>
      <c r="HJ36" s="430"/>
      <c r="HK36" s="430"/>
      <c r="HL36" s="430"/>
      <c r="HM36" s="430"/>
      <c r="HN36" s="430"/>
      <c r="HO36" s="430"/>
      <c r="HP36" s="430"/>
      <c r="HQ36" s="430"/>
      <c r="HR36" s="430"/>
      <c r="HS36" s="430"/>
      <c r="HT36" s="430"/>
      <c r="HU36" s="430"/>
      <c r="HV36" s="430"/>
      <c r="HW36" s="430"/>
      <c r="HX36" s="430"/>
      <c r="HY36" s="430"/>
      <c r="HZ36" s="430"/>
      <c r="IA36" s="430"/>
      <c r="IB36" s="430"/>
      <c r="IC36" s="430"/>
      <c r="ID36" s="430"/>
      <c r="IE36" s="430"/>
      <c r="IF36" s="430"/>
    </row>
    <row r="37" spans="1:240" s="184" customFormat="1" ht="15.75" customHeight="1">
      <c r="A37" s="431" t="s">
        <v>259</v>
      </c>
      <c r="B37" s="433">
        <v>207</v>
      </c>
      <c r="C37" s="433">
        <v>218.5</v>
      </c>
      <c r="D37" s="433">
        <v>241.5</v>
      </c>
      <c r="E37" s="433">
        <v>253</v>
      </c>
      <c r="F37" s="432"/>
      <c r="G37" s="300">
        <v>400</v>
      </c>
      <c r="H37" s="300">
        <v>400000</v>
      </c>
      <c r="I37" s="428">
        <v>800000</v>
      </c>
      <c r="J37" s="428">
        <v>1200000</v>
      </c>
      <c r="K37" s="430"/>
      <c r="L37" s="430"/>
      <c r="R37" s="430"/>
      <c r="S37" s="430"/>
      <c r="T37" s="430"/>
      <c r="U37" s="430"/>
      <c r="V37" s="430"/>
      <c r="W37" s="430"/>
      <c r="X37" s="430"/>
      <c r="Y37" s="430"/>
      <c r="Z37" s="430"/>
      <c r="AA37" s="430"/>
      <c r="AB37" s="430"/>
      <c r="AC37" s="430"/>
      <c r="AD37" s="430"/>
      <c r="AE37" s="430"/>
      <c r="AF37" s="430"/>
      <c r="AG37" s="430"/>
      <c r="AH37" s="430"/>
      <c r="AI37" s="430"/>
      <c r="AJ37" s="430"/>
      <c r="AK37" s="430"/>
      <c r="AL37" s="430"/>
      <c r="AM37" s="430"/>
      <c r="AN37" s="430"/>
      <c r="AO37" s="430"/>
      <c r="AP37" s="430"/>
      <c r="AQ37" s="430"/>
      <c r="AR37" s="430"/>
      <c r="AS37" s="430"/>
      <c r="AT37" s="430"/>
      <c r="AU37" s="430"/>
      <c r="AV37" s="430"/>
      <c r="AW37" s="430"/>
      <c r="AX37" s="430"/>
      <c r="AY37" s="430"/>
      <c r="AZ37" s="430"/>
      <c r="BA37" s="430"/>
      <c r="BB37" s="430"/>
      <c r="BC37" s="430"/>
      <c r="BD37" s="430"/>
      <c r="BE37" s="430"/>
      <c r="BF37" s="430"/>
      <c r="BG37" s="430"/>
      <c r="BH37" s="430"/>
      <c r="BI37" s="430"/>
      <c r="BJ37" s="430"/>
      <c r="BK37" s="430"/>
      <c r="BL37" s="430"/>
      <c r="BM37" s="430"/>
      <c r="BN37" s="430"/>
      <c r="BO37" s="430"/>
      <c r="BP37" s="430"/>
      <c r="BQ37" s="430"/>
      <c r="BR37" s="430"/>
      <c r="BS37" s="430"/>
      <c r="BT37" s="430"/>
      <c r="BU37" s="430"/>
      <c r="BV37" s="430"/>
      <c r="BW37" s="430"/>
      <c r="BX37" s="430"/>
      <c r="BY37" s="430"/>
      <c r="BZ37" s="430"/>
      <c r="CA37" s="430"/>
      <c r="CB37" s="430"/>
      <c r="CC37" s="430"/>
      <c r="CD37" s="430"/>
      <c r="CE37" s="430"/>
      <c r="CF37" s="430"/>
      <c r="CG37" s="430"/>
      <c r="CH37" s="430"/>
      <c r="CI37" s="430"/>
      <c r="CJ37" s="430"/>
      <c r="CK37" s="430"/>
      <c r="CL37" s="430"/>
      <c r="CM37" s="430"/>
      <c r="CN37" s="430"/>
      <c r="CO37" s="430"/>
      <c r="CP37" s="430"/>
      <c r="CQ37" s="430"/>
      <c r="CR37" s="430"/>
      <c r="CS37" s="430"/>
      <c r="CT37" s="430"/>
      <c r="CU37" s="430"/>
      <c r="CV37" s="430"/>
      <c r="CW37" s="430"/>
      <c r="CX37" s="430"/>
      <c r="CY37" s="430"/>
      <c r="CZ37" s="430"/>
      <c r="DA37" s="430"/>
      <c r="DB37" s="430"/>
      <c r="DC37" s="430"/>
      <c r="DD37" s="430"/>
      <c r="DE37" s="430"/>
      <c r="DF37" s="430"/>
      <c r="DG37" s="430"/>
      <c r="DH37" s="430"/>
      <c r="DI37" s="430"/>
      <c r="DJ37" s="430"/>
      <c r="DK37" s="430"/>
      <c r="DL37" s="430"/>
      <c r="DM37" s="430"/>
      <c r="DN37" s="430"/>
      <c r="DO37" s="430"/>
      <c r="DP37" s="430"/>
      <c r="DQ37" s="430"/>
      <c r="DR37" s="430"/>
      <c r="DS37" s="430"/>
      <c r="DT37" s="430"/>
      <c r="DU37" s="430"/>
      <c r="DV37" s="430"/>
      <c r="DW37" s="430"/>
      <c r="DX37" s="430"/>
      <c r="DY37" s="430"/>
      <c r="DZ37" s="430"/>
      <c r="EA37" s="430"/>
      <c r="EB37" s="430"/>
      <c r="EC37" s="430"/>
      <c r="ED37" s="430"/>
      <c r="EE37" s="430"/>
      <c r="EF37" s="430"/>
      <c r="EG37" s="430"/>
      <c r="EH37" s="430"/>
      <c r="EI37" s="430"/>
      <c r="EJ37" s="430"/>
      <c r="EK37" s="430"/>
      <c r="EL37" s="430"/>
      <c r="EM37" s="430"/>
      <c r="EN37" s="430"/>
      <c r="EO37" s="430"/>
      <c r="EP37" s="430"/>
      <c r="EQ37" s="430"/>
      <c r="ER37" s="430"/>
      <c r="ES37" s="430"/>
      <c r="ET37" s="430"/>
      <c r="EU37" s="430"/>
      <c r="EV37" s="430"/>
      <c r="EW37" s="430"/>
      <c r="EX37" s="430"/>
      <c r="EY37" s="430"/>
      <c r="EZ37" s="430"/>
      <c r="FA37" s="430"/>
      <c r="FB37" s="430"/>
      <c r="FC37" s="430"/>
      <c r="FD37" s="430"/>
      <c r="FE37" s="430"/>
      <c r="FF37" s="430"/>
      <c r="FG37" s="430"/>
      <c r="FH37" s="430"/>
      <c r="FI37" s="430"/>
      <c r="FJ37" s="430"/>
      <c r="FK37" s="430"/>
      <c r="FL37" s="430"/>
      <c r="FM37" s="430"/>
      <c r="FN37" s="430"/>
      <c r="FO37" s="430"/>
      <c r="FP37" s="430"/>
      <c r="FQ37" s="430"/>
      <c r="FR37" s="430"/>
      <c r="FS37" s="430"/>
      <c r="FT37" s="430"/>
      <c r="FU37" s="430"/>
      <c r="FV37" s="430"/>
      <c r="FW37" s="430"/>
      <c r="FX37" s="430"/>
      <c r="FY37" s="430"/>
      <c r="FZ37" s="430"/>
      <c r="GA37" s="430"/>
      <c r="GB37" s="430"/>
      <c r="GC37" s="430"/>
      <c r="GD37" s="430"/>
      <c r="GE37" s="430"/>
      <c r="GF37" s="430"/>
      <c r="GG37" s="430"/>
      <c r="GH37" s="430"/>
      <c r="GI37" s="430"/>
      <c r="GJ37" s="430"/>
      <c r="GK37" s="430"/>
      <c r="GL37" s="430"/>
      <c r="GM37" s="430"/>
      <c r="GN37" s="430"/>
      <c r="GO37" s="430"/>
      <c r="GP37" s="430"/>
      <c r="GQ37" s="430"/>
      <c r="GR37" s="430"/>
      <c r="GS37" s="430"/>
      <c r="GT37" s="430"/>
      <c r="GU37" s="430"/>
      <c r="GV37" s="430"/>
      <c r="GW37" s="430"/>
      <c r="GX37" s="430"/>
      <c r="GY37" s="430"/>
      <c r="GZ37" s="430"/>
      <c r="HA37" s="430"/>
      <c r="HB37" s="430"/>
      <c r="HC37" s="430"/>
      <c r="HD37" s="430"/>
      <c r="HE37" s="430"/>
      <c r="HF37" s="430"/>
      <c r="HG37" s="430"/>
      <c r="HH37" s="430"/>
      <c r="HI37" s="430"/>
      <c r="HJ37" s="430"/>
      <c r="HK37" s="430"/>
      <c r="HL37" s="430"/>
      <c r="HM37" s="430"/>
      <c r="HN37" s="430"/>
      <c r="HO37" s="430"/>
      <c r="HP37" s="430"/>
      <c r="HQ37" s="430"/>
      <c r="HR37" s="430"/>
      <c r="HS37" s="430"/>
      <c r="HT37" s="430"/>
      <c r="HU37" s="430"/>
      <c r="HV37" s="430"/>
      <c r="HW37" s="430"/>
      <c r="HX37" s="430"/>
      <c r="HY37" s="430"/>
      <c r="HZ37" s="430"/>
      <c r="IA37" s="430"/>
      <c r="IB37" s="430"/>
      <c r="IC37" s="430"/>
      <c r="ID37" s="430"/>
      <c r="IE37" s="430"/>
      <c r="IF37" s="430"/>
    </row>
    <row r="38" spans="1:240" s="184" customFormat="1" ht="15.75" customHeight="1">
      <c r="A38" s="431" t="s">
        <v>260</v>
      </c>
      <c r="B38" s="433">
        <v>216</v>
      </c>
      <c r="C38" s="433">
        <v>228</v>
      </c>
      <c r="D38" s="433">
        <v>252</v>
      </c>
      <c r="E38" s="433">
        <v>264</v>
      </c>
      <c r="F38" s="432"/>
      <c r="G38" s="300">
        <v>500</v>
      </c>
      <c r="H38" s="300">
        <v>500000</v>
      </c>
      <c r="I38" s="428">
        <v>1000000</v>
      </c>
      <c r="J38" s="428">
        <v>1500000</v>
      </c>
      <c r="K38" s="430"/>
      <c r="L38" s="430"/>
      <c r="M38" s="430"/>
      <c r="N38" s="430"/>
      <c r="O38" s="430"/>
      <c r="P38" s="430"/>
      <c r="Q38" s="430"/>
      <c r="R38" s="430"/>
      <c r="S38" s="430"/>
      <c r="T38" s="430"/>
      <c r="U38" s="430"/>
      <c r="V38" s="430"/>
      <c r="W38" s="430"/>
      <c r="X38" s="430"/>
      <c r="Y38" s="430"/>
      <c r="Z38" s="430"/>
      <c r="AA38" s="430"/>
      <c r="AB38" s="430"/>
      <c r="AC38" s="430"/>
      <c r="AD38" s="430"/>
      <c r="AE38" s="430"/>
      <c r="AF38" s="430"/>
      <c r="AG38" s="430"/>
      <c r="AH38" s="430"/>
      <c r="AI38" s="430"/>
      <c r="AJ38" s="430"/>
      <c r="AK38" s="430"/>
      <c r="AL38" s="430"/>
      <c r="AM38" s="430"/>
      <c r="AN38" s="430"/>
      <c r="AO38" s="430"/>
      <c r="AP38" s="430"/>
      <c r="AQ38" s="430"/>
      <c r="AR38" s="430"/>
      <c r="AS38" s="430"/>
      <c r="AT38" s="430"/>
      <c r="AU38" s="430"/>
      <c r="AV38" s="430"/>
      <c r="AW38" s="430"/>
      <c r="AX38" s="430"/>
      <c r="AY38" s="430"/>
      <c r="AZ38" s="430"/>
      <c r="BA38" s="430"/>
      <c r="BB38" s="430"/>
      <c r="BC38" s="430"/>
      <c r="BD38" s="430"/>
      <c r="BE38" s="430"/>
      <c r="BF38" s="430"/>
      <c r="BG38" s="430"/>
      <c r="BH38" s="430"/>
      <c r="BI38" s="430"/>
      <c r="BJ38" s="430"/>
      <c r="BK38" s="430"/>
      <c r="BL38" s="430"/>
      <c r="BM38" s="430"/>
      <c r="BN38" s="430"/>
      <c r="BO38" s="430"/>
      <c r="BP38" s="430"/>
      <c r="BQ38" s="430"/>
      <c r="BR38" s="430"/>
      <c r="BS38" s="430"/>
      <c r="BT38" s="430"/>
      <c r="BU38" s="430"/>
      <c r="BV38" s="430"/>
      <c r="BW38" s="430"/>
      <c r="BX38" s="430"/>
      <c r="BY38" s="430"/>
      <c r="BZ38" s="430"/>
      <c r="CA38" s="430"/>
      <c r="CB38" s="430"/>
      <c r="CC38" s="430"/>
      <c r="CD38" s="430"/>
      <c r="CE38" s="430"/>
      <c r="CF38" s="430"/>
      <c r="CG38" s="430"/>
      <c r="CH38" s="430"/>
      <c r="CI38" s="430"/>
      <c r="CJ38" s="430"/>
      <c r="CK38" s="430"/>
      <c r="CL38" s="430"/>
      <c r="CM38" s="430"/>
      <c r="CN38" s="430"/>
      <c r="CO38" s="430"/>
      <c r="CP38" s="430"/>
      <c r="CQ38" s="430"/>
      <c r="CR38" s="430"/>
      <c r="CS38" s="430"/>
      <c r="CT38" s="430"/>
      <c r="CU38" s="430"/>
      <c r="CV38" s="430"/>
      <c r="CW38" s="430"/>
      <c r="CX38" s="430"/>
      <c r="CY38" s="430"/>
      <c r="CZ38" s="430"/>
      <c r="DA38" s="430"/>
      <c r="DB38" s="430"/>
      <c r="DC38" s="430"/>
      <c r="DD38" s="430"/>
      <c r="DE38" s="430"/>
      <c r="DF38" s="430"/>
      <c r="DG38" s="430"/>
      <c r="DH38" s="430"/>
      <c r="DI38" s="430"/>
      <c r="DJ38" s="430"/>
      <c r="DK38" s="430"/>
      <c r="DL38" s="430"/>
      <c r="DM38" s="430"/>
      <c r="DN38" s="430"/>
      <c r="DO38" s="430"/>
      <c r="DP38" s="430"/>
      <c r="DQ38" s="430"/>
      <c r="DR38" s="430"/>
      <c r="DS38" s="430"/>
      <c r="DT38" s="430"/>
      <c r="DU38" s="430"/>
      <c r="DV38" s="430"/>
      <c r="DW38" s="430"/>
      <c r="DX38" s="430"/>
      <c r="DY38" s="430"/>
      <c r="DZ38" s="430"/>
      <c r="EA38" s="430"/>
      <c r="EB38" s="430"/>
      <c r="EC38" s="430"/>
      <c r="ED38" s="430"/>
      <c r="EE38" s="430"/>
      <c r="EF38" s="430"/>
      <c r="EG38" s="430"/>
      <c r="EH38" s="430"/>
      <c r="EI38" s="430"/>
      <c r="EJ38" s="430"/>
      <c r="EK38" s="430"/>
      <c r="EL38" s="430"/>
      <c r="EM38" s="430"/>
      <c r="EN38" s="430"/>
      <c r="EO38" s="430"/>
      <c r="EP38" s="430"/>
      <c r="EQ38" s="430"/>
      <c r="ER38" s="430"/>
      <c r="ES38" s="430"/>
      <c r="ET38" s="430"/>
      <c r="EU38" s="430"/>
      <c r="EV38" s="430"/>
      <c r="EW38" s="430"/>
      <c r="EX38" s="430"/>
      <c r="EY38" s="430"/>
      <c r="EZ38" s="430"/>
      <c r="FA38" s="430"/>
      <c r="FB38" s="430"/>
      <c r="FC38" s="430"/>
      <c r="FD38" s="430"/>
      <c r="FE38" s="430"/>
      <c r="FF38" s="430"/>
      <c r="FG38" s="430"/>
      <c r="FH38" s="430"/>
      <c r="FI38" s="430"/>
      <c r="FJ38" s="430"/>
      <c r="FK38" s="430"/>
      <c r="FL38" s="430"/>
      <c r="FM38" s="430"/>
      <c r="FN38" s="430"/>
      <c r="FO38" s="430"/>
      <c r="FP38" s="430"/>
      <c r="FQ38" s="430"/>
      <c r="FR38" s="430"/>
      <c r="FS38" s="430"/>
      <c r="FT38" s="430"/>
      <c r="FU38" s="430"/>
      <c r="FV38" s="430"/>
      <c r="FW38" s="430"/>
      <c r="FX38" s="430"/>
      <c r="FY38" s="430"/>
      <c r="FZ38" s="430"/>
      <c r="GA38" s="430"/>
      <c r="GB38" s="430"/>
      <c r="GC38" s="430"/>
      <c r="GD38" s="430"/>
      <c r="GE38" s="430"/>
      <c r="GF38" s="430"/>
      <c r="GG38" s="430"/>
      <c r="GH38" s="430"/>
      <c r="GI38" s="430"/>
      <c r="GJ38" s="430"/>
      <c r="GK38" s="430"/>
      <c r="GL38" s="430"/>
      <c r="GM38" s="430"/>
      <c r="GN38" s="430"/>
      <c r="GO38" s="430"/>
      <c r="GP38" s="430"/>
      <c r="GQ38" s="430"/>
      <c r="GR38" s="430"/>
      <c r="GS38" s="430"/>
      <c r="GT38" s="430"/>
      <c r="GU38" s="430"/>
      <c r="GV38" s="430"/>
      <c r="GW38" s="430"/>
      <c r="GX38" s="430"/>
      <c r="GY38" s="430"/>
      <c r="GZ38" s="430"/>
      <c r="HA38" s="430"/>
      <c r="HB38" s="430"/>
      <c r="HC38" s="430"/>
      <c r="HD38" s="430"/>
      <c r="HE38" s="430"/>
      <c r="HF38" s="430"/>
      <c r="HG38" s="430"/>
      <c r="HH38" s="430"/>
      <c r="HI38" s="430"/>
      <c r="HJ38" s="430"/>
      <c r="HK38" s="430"/>
      <c r="HL38" s="430"/>
      <c r="HM38" s="430"/>
      <c r="HN38" s="430"/>
      <c r="HO38" s="430"/>
      <c r="HP38" s="430"/>
      <c r="HQ38" s="430"/>
      <c r="HR38" s="430"/>
      <c r="HS38" s="430"/>
      <c r="HT38" s="430"/>
      <c r="HU38" s="430"/>
      <c r="HV38" s="430"/>
      <c r="HW38" s="430"/>
      <c r="HX38" s="430"/>
      <c r="HY38" s="430"/>
      <c r="HZ38" s="430"/>
      <c r="IA38" s="430"/>
      <c r="IB38" s="430"/>
      <c r="IC38" s="430"/>
      <c r="ID38" s="430"/>
      <c r="IE38" s="430"/>
      <c r="IF38" s="430"/>
    </row>
    <row r="39" spans="1:240" s="184" customFormat="1" ht="15.75" customHeight="1">
      <c r="A39" s="431" t="s">
        <v>261</v>
      </c>
      <c r="B39" s="433">
        <v>414</v>
      </c>
      <c r="C39" s="433">
        <v>437</v>
      </c>
      <c r="D39" s="433">
        <v>483</v>
      </c>
      <c r="E39" s="433">
        <v>506</v>
      </c>
      <c r="F39" s="434"/>
      <c r="G39" s="435"/>
      <c r="H39" s="435"/>
      <c r="I39" s="435"/>
      <c r="J39" s="435"/>
      <c r="K39" s="430"/>
      <c r="L39" s="430"/>
      <c r="M39" s="430"/>
      <c r="N39" s="430"/>
      <c r="O39" s="430"/>
      <c r="P39" s="430"/>
      <c r="Q39" s="430"/>
      <c r="R39" s="430"/>
      <c r="S39" s="430"/>
      <c r="T39" s="430"/>
      <c r="U39" s="430"/>
      <c r="V39" s="430"/>
      <c r="W39" s="430"/>
      <c r="X39" s="430"/>
      <c r="Y39" s="430"/>
      <c r="Z39" s="430"/>
      <c r="AA39" s="430"/>
      <c r="AB39" s="430"/>
      <c r="AC39" s="430"/>
      <c r="AD39" s="430"/>
      <c r="AE39" s="430"/>
      <c r="AF39" s="430"/>
      <c r="AG39" s="430"/>
      <c r="AH39" s="430"/>
      <c r="AI39" s="430"/>
      <c r="AJ39" s="430"/>
      <c r="AK39" s="430"/>
      <c r="AL39" s="430"/>
      <c r="AM39" s="430"/>
      <c r="AN39" s="430"/>
      <c r="AO39" s="430"/>
      <c r="AP39" s="430"/>
      <c r="AQ39" s="430"/>
      <c r="AR39" s="430"/>
      <c r="AS39" s="430"/>
      <c r="AT39" s="430"/>
      <c r="AU39" s="430"/>
      <c r="AV39" s="430"/>
      <c r="AW39" s="430"/>
      <c r="AX39" s="430"/>
      <c r="AY39" s="430"/>
      <c r="AZ39" s="430"/>
      <c r="BA39" s="430"/>
      <c r="BB39" s="430"/>
      <c r="BC39" s="430"/>
      <c r="BD39" s="430"/>
      <c r="BE39" s="430"/>
      <c r="BF39" s="430"/>
      <c r="BG39" s="430"/>
      <c r="BH39" s="430"/>
      <c r="BI39" s="430"/>
      <c r="BJ39" s="430"/>
      <c r="BK39" s="430"/>
      <c r="BL39" s="430"/>
      <c r="BM39" s="430"/>
      <c r="BN39" s="430"/>
      <c r="BO39" s="430"/>
      <c r="BP39" s="430"/>
      <c r="BQ39" s="430"/>
      <c r="BR39" s="430"/>
      <c r="BS39" s="430"/>
      <c r="BT39" s="430"/>
      <c r="BU39" s="430"/>
      <c r="BV39" s="430"/>
      <c r="BW39" s="430"/>
      <c r="BX39" s="430"/>
      <c r="BY39" s="430"/>
      <c r="BZ39" s="430"/>
      <c r="CA39" s="430"/>
      <c r="CB39" s="430"/>
      <c r="CC39" s="430"/>
      <c r="CD39" s="430"/>
      <c r="CE39" s="430"/>
      <c r="CF39" s="430"/>
      <c r="CG39" s="430"/>
      <c r="CH39" s="430"/>
      <c r="CI39" s="430"/>
      <c r="CJ39" s="430"/>
      <c r="CK39" s="430"/>
      <c r="CL39" s="430"/>
      <c r="CM39" s="430"/>
      <c r="CN39" s="430"/>
      <c r="CO39" s="430"/>
      <c r="CP39" s="430"/>
      <c r="CQ39" s="430"/>
      <c r="CR39" s="430"/>
      <c r="CS39" s="430"/>
      <c r="CT39" s="430"/>
      <c r="CU39" s="430"/>
      <c r="CV39" s="430"/>
      <c r="CW39" s="430"/>
      <c r="CX39" s="430"/>
      <c r="CY39" s="430"/>
      <c r="CZ39" s="430"/>
      <c r="DA39" s="430"/>
      <c r="DB39" s="430"/>
      <c r="DC39" s="430"/>
      <c r="DD39" s="430"/>
      <c r="DE39" s="430"/>
      <c r="DF39" s="430"/>
      <c r="DG39" s="430"/>
      <c r="DH39" s="430"/>
      <c r="DI39" s="430"/>
      <c r="DJ39" s="430"/>
      <c r="DK39" s="430"/>
      <c r="DL39" s="430"/>
      <c r="DM39" s="430"/>
      <c r="DN39" s="430"/>
      <c r="DO39" s="430"/>
      <c r="DP39" s="430"/>
      <c r="DQ39" s="430"/>
      <c r="DR39" s="430"/>
      <c r="DS39" s="430"/>
      <c r="DT39" s="430"/>
      <c r="DU39" s="430"/>
      <c r="DV39" s="430"/>
      <c r="DW39" s="430"/>
      <c r="DX39" s="430"/>
      <c r="DY39" s="430"/>
      <c r="DZ39" s="430"/>
      <c r="EA39" s="430"/>
      <c r="EB39" s="430"/>
      <c r="EC39" s="430"/>
      <c r="ED39" s="430"/>
      <c r="EE39" s="430"/>
      <c r="EF39" s="430"/>
      <c r="EG39" s="430"/>
      <c r="EH39" s="430"/>
      <c r="EI39" s="430"/>
      <c r="EJ39" s="430"/>
      <c r="EK39" s="430"/>
      <c r="EL39" s="430"/>
      <c r="EM39" s="430"/>
      <c r="EN39" s="430"/>
      <c r="EO39" s="430"/>
      <c r="EP39" s="430"/>
      <c r="EQ39" s="430"/>
      <c r="ER39" s="430"/>
      <c r="ES39" s="430"/>
      <c r="ET39" s="430"/>
      <c r="EU39" s="430"/>
      <c r="EV39" s="430"/>
      <c r="EW39" s="430"/>
      <c r="EX39" s="430"/>
      <c r="EY39" s="430"/>
      <c r="EZ39" s="430"/>
      <c r="FA39" s="430"/>
      <c r="FB39" s="430"/>
      <c r="FC39" s="430"/>
      <c r="FD39" s="430"/>
      <c r="FE39" s="430"/>
      <c r="FF39" s="430"/>
      <c r="FG39" s="430"/>
      <c r="FH39" s="430"/>
      <c r="FI39" s="430"/>
      <c r="FJ39" s="430"/>
      <c r="FK39" s="430"/>
      <c r="FL39" s="430"/>
      <c r="FM39" s="430"/>
      <c r="FN39" s="430"/>
      <c r="FO39" s="430"/>
      <c r="FP39" s="430"/>
      <c r="FQ39" s="430"/>
      <c r="FR39" s="430"/>
      <c r="FS39" s="430"/>
      <c r="FT39" s="430"/>
      <c r="FU39" s="430"/>
      <c r="FV39" s="430"/>
      <c r="FW39" s="430"/>
      <c r="FX39" s="430"/>
      <c r="FY39" s="430"/>
      <c r="FZ39" s="430"/>
      <c r="GA39" s="430"/>
      <c r="GB39" s="430"/>
      <c r="GC39" s="430"/>
      <c r="GD39" s="430"/>
      <c r="GE39" s="430"/>
      <c r="GF39" s="430"/>
      <c r="GG39" s="430"/>
      <c r="GH39" s="430"/>
      <c r="GI39" s="430"/>
      <c r="GJ39" s="430"/>
      <c r="GK39" s="430"/>
      <c r="GL39" s="430"/>
      <c r="GM39" s="430"/>
      <c r="GN39" s="430"/>
      <c r="GO39" s="430"/>
      <c r="GP39" s="430"/>
      <c r="GQ39" s="430"/>
      <c r="GR39" s="430"/>
      <c r="GS39" s="430"/>
      <c r="GT39" s="430"/>
      <c r="GU39" s="430"/>
      <c r="GV39" s="430"/>
      <c r="GW39" s="430"/>
      <c r="GX39" s="430"/>
      <c r="GY39" s="430"/>
      <c r="GZ39" s="430"/>
      <c r="HA39" s="430"/>
      <c r="HB39" s="430"/>
      <c r="HC39" s="430"/>
      <c r="HD39" s="430"/>
      <c r="HE39" s="430"/>
      <c r="HF39" s="430"/>
      <c r="HG39" s="430"/>
      <c r="HH39" s="430"/>
      <c r="HI39" s="430"/>
      <c r="HJ39" s="430"/>
      <c r="HK39" s="430"/>
      <c r="HL39" s="430"/>
      <c r="HM39" s="430"/>
      <c r="HN39" s="430"/>
      <c r="HO39" s="430"/>
      <c r="HP39" s="430"/>
      <c r="HQ39" s="430"/>
      <c r="HR39" s="430"/>
      <c r="HS39" s="430"/>
      <c r="HT39" s="430"/>
      <c r="HU39" s="430"/>
      <c r="HV39" s="430"/>
      <c r="HW39" s="430"/>
      <c r="HX39" s="430"/>
      <c r="HY39" s="430"/>
      <c r="HZ39" s="430"/>
      <c r="IA39" s="430"/>
      <c r="IB39" s="430"/>
      <c r="IC39" s="430"/>
      <c r="ID39" s="430"/>
      <c r="IE39" s="430"/>
      <c r="IF39" s="430"/>
    </row>
    <row r="40" spans="1:240" s="184" customFormat="1" ht="15.75" customHeight="1">
      <c r="A40" s="431" t="s">
        <v>262</v>
      </c>
      <c r="B40" s="433">
        <v>432</v>
      </c>
      <c r="C40" s="433">
        <v>456</v>
      </c>
      <c r="D40" s="433">
        <v>504</v>
      </c>
      <c r="E40" s="433">
        <v>528</v>
      </c>
      <c r="F40" s="434"/>
      <c r="G40" s="429"/>
      <c r="H40" s="429"/>
      <c r="I40" s="429"/>
      <c r="J40" s="429"/>
      <c r="K40" s="430"/>
      <c r="L40" s="430"/>
      <c r="M40" s="430"/>
      <c r="N40" s="430"/>
      <c r="O40" s="430"/>
      <c r="P40" s="430"/>
      <c r="Q40" s="430"/>
      <c r="R40" s="430"/>
      <c r="S40" s="430"/>
      <c r="T40" s="430"/>
      <c r="U40" s="430"/>
      <c r="V40" s="430"/>
      <c r="W40" s="430"/>
      <c r="X40" s="430"/>
      <c r="Y40" s="430"/>
      <c r="Z40" s="430"/>
      <c r="AA40" s="430"/>
      <c r="AB40" s="430"/>
      <c r="AC40" s="430"/>
      <c r="AD40" s="430"/>
      <c r="AE40" s="430"/>
      <c r="AF40" s="430"/>
      <c r="AG40" s="430"/>
      <c r="AH40" s="430"/>
      <c r="AI40" s="430"/>
      <c r="AJ40" s="430"/>
      <c r="AK40" s="430"/>
      <c r="AL40" s="430"/>
      <c r="AM40" s="430"/>
      <c r="AN40" s="430"/>
      <c r="AO40" s="430"/>
      <c r="AP40" s="430"/>
      <c r="AQ40" s="430"/>
      <c r="AR40" s="430"/>
      <c r="AS40" s="430"/>
      <c r="AT40" s="430"/>
      <c r="AU40" s="430"/>
      <c r="AV40" s="430"/>
      <c r="AW40" s="430"/>
      <c r="AX40" s="430"/>
      <c r="AY40" s="430"/>
      <c r="AZ40" s="430"/>
      <c r="BA40" s="430"/>
      <c r="BB40" s="430"/>
      <c r="BC40" s="430"/>
      <c r="BD40" s="430"/>
      <c r="BE40" s="430"/>
      <c r="BF40" s="430"/>
      <c r="BG40" s="430"/>
      <c r="BH40" s="430"/>
      <c r="BI40" s="430"/>
      <c r="BJ40" s="430"/>
      <c r="BK40" s="430"/>
      <c r="BL40" s="430"/>
      <c r="BM40" s="430"/>
      <c r="BN40" s="430"/>
      <c r="BO40" s="430"/>
      <c r="BP40" s="430"/>
      <c r="BQ40" s="430"/>
      <c r="BR40" s="430"/>
      <c r="BS40" s="430"/>
      <c r="BT40" s="430"/>
      <c r="BU40" s="430"/>
      <c r="BV40" s="430"/>
      <c r="BW40" s="430"/>
      <c r="BX40" s="430"/>
      <c r="BY40" s="430"/>
      <c r="BZ40" s="430"/>
      <c r="CA40" s="430"/>
      <c r="CB40" s="430"/>
      <c r="CC40" s="430"/>
      <c r="CD40" s="430"/>
      <c r="CE40" s="430"/>
      <c r="CF40" s="430"/>
      <c r="CG40" s="430"/>
      <c r="CH40" s="430"/>
      <c r="CI40" s="430"/>
      <c r="CJ40" s="430"/>
      <c r="CK40" s="430"/>
      <c r="CL40" s="430"/>
      <c r="CM40" s="430"/>
      <c r="CN40" s="430"/>
      <c r="CO40" s="430"/>
      <c r="CP40" s="430"/>
      <c r="CQ40" s="430"/>
      <c r="CR40" s="430"/>
      <c r="CS40" s="430"/>
      <c r="CT40" s="430"/>
      <c r="CU40" s="430"/>
      <c r="CV40" s="430"/>
      <c r="CW40" s="430"/>
      <c r="CX40" s="430"/>
      <c r="CY40" s="430"/>
      <c r="CZ40" s="430"/>
      <c r="DA40" s="430"/>
      <c r="DB40" s="430"/>
      <c r="DC40" s="430"/>
      <c r="DD40" s="430"/>
      <c r="DE40" s="430"/>
      <c r="DF40" s="430"/>
      <c r="DG40" s="430"/>
      <c r="DH40" s="430"/>
      <c r="DI40" s="430"/>
      <c r="DJ40" s="430"/>
      <c r="DK40" s="430"/>
      <c r="DL40" s="430"/>
      <c r="DM40" s="430"/>
      <c r="DN40" s="430"/>
      <c r="DO40" s="430"/>
      <c r="DP40" s="430"/>
      <c r="DQ40" s="430"/>
      <c r="DR40" s="430"/>
      <c r="DS40" s="430"/>
      <c r="DT40" s="430"/>
      <c r="DU40" s="430"/>
      <c r="DV40" s="430"/>
      <c r="DW40" s="430"/>
      <c r="DX40" s="430"/>
      <c r="DY40" s="430"/>
      <c r="DZ40" s="430"/>
      <c r="EA40" s="430"/>
      <c r="EB40" s="430"/>
      <c r="EC40" s="430"/>
      <c r="ED40" s="430"/>
      <c r="EE40" s="430"/>
      <c r="EF40" s="430"/>
      <c r="EG40" s="430"/>
      <c r="EH40" s="430"/>
      <c r="EI40" s="430"/>
      <c r="EJ40" s="430"/>
      <c r="EK40" s="430"/>
      <c r="EL40" s="430"/>
      <c r="EM40" s="430"/>
      <c r="EN40" s="430"/>
      <c r="EO40" s="430"/>
      <c r="EP40" s="430"/>
      <c r="EQ40" s="430"/>
      <c r="ER40" s="430"/>
      <c r="ES40" s="430"/>
      <c r="ET40" s="430"/>
      <c r="EU40" s="430"/>
      <c r="EV40" s="430"/>
      <c r="EW40" s="430"/>
      <c r="EX40" s="430"/>
      <c r="EY40" s="430"/>
      <c r="EZ40" s="430"/>
      <c r="FA40" s="430"/>
      <c r="FB40" s="430"/>
      <c r="FC40" s="430"/>
      <c r="FD40" s="430"/>
      <c r="FE40" s="430"/>
      <c r="FF40" s="430"/>
      <c r="FG40" s="430"/>
      <c r="FH40" s="430"/>
      <c r="FI40" s="430"/>
      <c r="FJ40" s="430"/>
      <c r="FK40" s="430"/>
      <c r="FL40" s="430"/>
      <c r="FM40" s="430"/>
      <c r="FN40" s="430"/>
      <c r="FO40" s="430"/>
      <c r="FP40" s="430"/>
      <c r="FQ40" s="430"/>
      <c r="FR40" s="430"/>
      <c r="FS40" s="430"/>
      <c r="FT40" s="430"/>
      <c r="FU40" s="430"/>
      <c r="FV40" s="430"/>
      <c r="FW40" s="430"/>
      <c r="FX40" s="430"/>
      <c r="FY40" s="430"/>
      <c r="FZ40" s="430"/>
      <c r="GA40" s="430"/>
      <c r="GB40" s="430"/>
      <c r="GC40" s="430"/>
      <c r="GD40" s="430"/>
      <c r="GE40" s="430"/>
      <c r="GF40" s="430"/>
      <c r="GG40" s="430"/>
      <c r="GH40" s="430"/>
      <c r="GI40" s="430"/>
      <c r="GJ40" s="430"/>
      <c r="GK40" s="430"/>
      <c r="GL40" s="430"/>
      <c r="GM40" s="430"/>
      <c r="GN40" s="430"/>
      <c r="GO40" s="430"/>
      <c r="GP40" s="430"/>
      <c r="GQ40" s="430"/>
      <c r="GR40" s="430"/>
      <c r="GS40" s="430"/>
      <c r="GT40" s="430"/>
      <c r="GU40" s="430"/>
      <c r="GV40" s="430"/>
      <c r="GW40" s="430"/>
      <c r="GX40" s="430"/>
      <c r="GY40" s="430"/>
      <c r="GZ40" s="430"/>
      <c r="HA40" s="430"/>
      <c r="HB40" s="430"/>
      <c r="HC40" s="430"/>
      <c r="HD40" s="430"/>
      <c r="HE40" s="430"/>
      <c r="HF40" s="430"/>
      <c r="HG40" s="430"/>
      <c r="HH40" s="430"/>
      <c r="HI40" s="430"/>
      <c r="HJ40" s="430"/>
      <c r="HK40" s="430"/>
      <c r="HL40" s="430"/>
      <c r="HM40" s="430"/>
      <c r="HN40" s="430"/>
      <c r="HO40" s="430"/>
      <c r="HP40" s="430"/>
      <c r="HQ40" s="430"/>
      <c r="HR40" s="430"/>
      <c r="HS40" s="430"/>
      <c r="HT40" s="430"/>
      <c r="HU40" s="430"/>
      <c r="HV40" s="430"/>
      <c r="HW40" s="430"/>
      <c r="HX40" s="430"/>
      <c r="HY40" s="430"/>
      <c r="HZ40" s="430"/>
      <c r="IA40" s="430"/>
      <c r="IB40" s="430"/>
      <c r="IC40" s="430"/>
      <c r="ID40" s="430"/>
      <c r="IE40" s="430"/>
      <c r="IF40" s="430"/>
    </row>
    <row r="41" spans="1:240" s="184" customFormat="1" ht="15.75" customHeight="1">
      <c r="A41" s="429"/>
      <c r="B41" s="429"/>
      <c r="C41" s="430"/>
      <c r="D41" s="430"/>
      <c r="E41" s="429"/>
      <c r="F41" s="429"/>
      <c r="G41" s="429"/>
      <c r="H41" s="429"/>
      <c r="I41" s="429"/>
      <c r="J41" s="429"/>
      <c r="K41" s="430"/>
      <c r="L41" s="430"/>
      <c r="M41" s="430"/>
      <c r="N41" s="430"/>
      <c r="O41" s="430"/>
      <c r="P41" s="430"/>
      <c r="Q41" s="430"/>
      <c r="R41" s="430"/>
      <c r="S41" s="430"/>
      <c r="T41" s="430"/>
      <c r="U41" s="430"/>
      <c r="V41" s="430"/>
      <c r="W41" s="430"/>
      <c r="X41" s="430"/>
      <c r="Y41" s="430"/>
      <c r="Z41" s="430"/>
      <c r="AA41" s="430"/>
      <c r="AB41" s="430"/>
      <c r="AC41" s="430"/>
      <c r="AD41" s="430"/>
      <c r="AE41" s="430"/>
      <c r="AF41" s="430"/>
      <c r="AG41" s="430"/>
      <c r="AH41" s="430"/>
      <c r="AI41" s="430"/>
      <c r="AJ41" s="430"/>
      <c r="AK41" s="430"/>
      <c r="AL41" s="430"/>
      <c r="AM41" s="430"/>
      <c r="AN41" s="430"/>
      <c r="AO41" s="430"/>
      <c r="AP41" s="430"/>
      <c r="AQ41" s="430"/>
      <c r="AR41" s="430"/>
      <c r="AS41" s="430"/>
      <c r="AT41" s="430"/>
      <c r="AU41" s="430"/>
      <c r="AV41" s="430"/>
      <c r="AW41" s="430"/>
      <c r="AX41" s="430"/>
      <c r="AY41" s="430"/>
      <c r="AZ41" s="430"/>
      <c r="BA41" s="430"/>
      <c r="BB41" s="430"/>
      <c r="BC41" s="430"/>
      <c r="BD41" s="430"/>
      <c r="BE41" s="430"/>
      <c r="BF41" s="430"/>
      <c r="BG41" s="430"/>
      <c r="BH41" s="430"/>
      <c r="BI41" s="430"/>
      <c r="BJ41" s="430"/>
      <c r="BK41" s="430"/>
      <c r="BL41" s="430"/>
      <c r="BM41" s="430"/>
      <c r="BN41" s="430"/>
      <c r="BO41" s="430"/>
      <c r="BP41" s="430"/>
      <c r="BQ41" s="430"/>
      <c r="BR41" s="430"/>
      <c r="BS41" s="430"/>
      <c r="BT41" s="430"/>
      <c r="BU41" s="430"/>
      <c r="BV41" s="430"/>
      <c r="BW41" s="430"/>
      <c r="BX41" s="430"/>
      <c r="BY41" s="430"/>
      <c r="BZ41" s="430"/>
      <c r="CA41" s="430"/>
      <c r="CB41" s="430"/>
      <c r="CC41" s="430"/>
      <c r="CD41" s="430"/>
      <c r="CE41" s="430"/>
      <c r="CF41" s="430"/>
      <c r="CG41" s="430"/>
      <c r="CH41" s="430"/>
      <c r="CI41" s="430"/>
      <c r="CJ41" s="430"/>
      <c r="CK41" s="430"/>
      <c r="CL41" s="430"/>
      <c r="CM41" s="430"/>
      <c r="CN41" s="430"/>
      <c r="CO41" s="430"/>
      <c r="CP41" s="430"/>
      <c r="CQ41" s="430"/>
      <c r="CR41" s="430"/>
      <c r="CS41" s="430"/>
      <c r="CT41" s="430"/>
      <c r="CU41" s="430"/>
      <c r="CV41" s="430"/>
      <c r="CW41" s="430"/>
      <c r="CX41" s="430"/>
      <c r="CY41" s="430"/>
      <c r="CZ41" s="430"/>
      <c r="DA41" s="430"/>
      <c r="DB41" s="430"/>
      <c r="DC41" s="430"/>
      <c r="DD41" s="430"/>
      <c r="DE41" s="430"/>
      <c r="DF41" s="430"/>
      <c r="DG41" s="430"/>
      <c r="DH41" s="430"/>
      <c r="DI41" s="430"/>
      <c r="DJ41" s="430"/>
      <c r="DK41" s="430"/>
      <c r="DL41" s="430"/>
      <c r="DM41" s="430"/>
      <c r="DN41" s="430"/>
      <c r="DO41" s="430"/>
      <c r="DP41" s="430"/>
      <c r="DQ41" s="430"/>
      <c r="DR41" s="430"/>
      <c r="DS41" s="430"/>
      <c r="DT41" s="430"/>
      <c r="DU41" s="430"/>
      <c r="DV41" s="430"/>
      <c r="DW41" s="430"/>
      <c r="DX41" s="430"/>
      <c r="DY41" s="430"/>
      <c r="DZ41" s="430"/>
      <c r="EA41" s="430"/>
      <c r="EB41" s="430"/>
      <c r="EC41" s="430"/>
      <c r="ED41" s="430"/>
      <c r="EE41" s="430"/>
      <c r="EF41" s="430"/>
      <c r="EG41" s="430"/>
      <c r="EH41" s="430"/>
      <c r="EI41" s="430"/>
      <c r="EJ41" s="430"/>
      <c r="EK41" s="430"/>
      <c r="EL41" s="430"/>
      <c r="EM41" s="430"/>
      <c r="EN41" s="430"/>
      <c r="EO41" s="430"/>
      <c r="EP41" s="430"/>
      <c r="EQ41" s="430"/>
      <c r="ER41" s="430"/>
      <c r="ES41" s="430"/>
      <c r="ET41" s="430"/>
      <c r="EU41" s="430"/>
      <c r="EV41" s="430"/>
      <c r="EW41" s="430"/>
      <c r="EX41" s="430"/>
      <c r="EY41" s="430"/>
      <c r="EZ41" s="430"/>
      <c r="FA41" s="430"/>
      <c r="FB41" s="430"/>
      <c r="FC41" s="430"/>
      <c r="FD41" s="430"/>
      <c r="FE41" s="430"/>
      <c r="FF41" s="430"/>
      <c r="FG41" s="430"/>
      <c r="FH41" s="430"/>
      <c r="FI41" s="430"/>
      <c r="FJ41" s="430"/>
      <c r="FK41" s="430"/>
      <c r="FL41" s="430"/>
      <c r="FM41" s="430"/>
      <c r="FN41" s="430"/>
      <c r="FO41" s="430"/>
      <c r="FP41" s="430"/>
      <c r="FQ41" s="430"/>
      <c r="FR41" s="430"/>
      <c r="FS41" s="430"/>
      <c r="FT41" s="430"/>
      <c r="FU41" s="430"/>
      <c r="FV41" s="430"/>
      <c r="FW41" s="430"/>
      <c r="FX41" s="430"/>
      <c r="FY41" s="430"/>
      <c r="FZ41" s="430"/>
      <c r="GA41" s="430"/>
      <c r="GB41" s="430"/>
      <c r="GC41" s="430"/>
      <c r="GD41" s="430"/>
      <c r="GE41" s="430"/>
      <c r="GF41" s="430"/>
      <c r="GG41" s="430"/>
      <c r="GH41" s="430"/>
      <c r="GI41" s="430"/>
      <c r="GJ41" s="430"/>
      <c r="GK41" s="430"/>
      <c r="GL41" s="430"/>
      <c r="GM41" s="430"/>
      <c r="GN41" s="430"/>
      <c r="GO41" s="430"/>
      <c r="GP41" s="430"/>
      <c r="GQ41" s="430"/>
      <c r="GR41" s="430"/>
      <c r="GS41" s="430"/>
      <c r="GT41" s="430"/>
      <c r="GU41" s="430"/>
      <c r="GV41" s="430"/>
      <c r="GW41" s="430"/>
      <c r="GX41" s="430"/>
      <c r="GY41" s="430"/>
      <c r="GZ41" s="430"/>
      <c r="HA41" s="430"/>
      <c r="HB41" s="430"/>
      <c r="HC41" s="430"/>
      <c r="HD41" s="430"/>
      <c r="HE41" s="430"/>
      <c r="HF41" s="430"/>
      <c r="HG41" s="430"/>
      <c r="HH41" s="430"/>
      <c r="HI41" s="430"/>
      <c r="HJ41" s="430"/>
      <c r="HK41" s="430"/>
      <c r="HL41" s="430"/>
      <c r="HM41" s="430"/>
      <c r="HN41" s="430"/>
      <c r="HO41" s="430"/>
      <c r="HP41" s="430"/>
      <c r="HQ41" s="430"/>
      <c r="HR41" s="430"/>
      <c r="HS41" s="430"/>
      <c r="HT41" s="430"/>
      <c r="HU41" s="430"/>
      <c r="HV41" s="430"/>
      <c r="HW41" s="430"/>
      <c r="HX41" s="430"/>
      <c r="HY41" s="430"/>
      <c r="HZ41" s="430"/>
      <c r="IA41" s="430"/>
      <c r="IB41" s="430"/>
      <c r="IC41" s="430"/>
      <c r="ID41" s="430"/>
      <c r="IE41" s="430"/>
      <c r="IF41" s="430"/>
    </row>
    <row r="42" spans="1:240" ht="15.75" customHeight="1">
      <c r="A42" s="379" t="s">
        <v>666</v>
      </c>
      <c r="B42" s="315"/>
      <c r="C42" s="316"/>
      <c r="D42" s="316"/>
      <c r="E42" s="107"/>
      <c r="F42" s="107"/>
      <c r="G42" s="107"/>
      <c r="H42" s="107"/>
      <c r="I42" s="107"/>
      <c r="J42" s="107"/>
      <c r="K42" s="107"/>
      <c r="L42" s="20"/>
    </row>
    <row r="43" spans="1:240" ht="15.75" customHeight="1">
      <c r="A43" s="380" t="s">
        <v>762</v>
      </c>
      <c r="B43" s="315"/>
      <c r="C43" s="316"/>
      <c r="D43" s="316"/>
      <c r="E43" s="107"/>
      <c r="F43" s="107"/>
      <c r="G43" s="107"/>
      <c r="H43" s="107"/>
      <c r="I43" s="107"/>
      <c r="J43" s="107"/>
      <c r="K43" s="107"/>
      <c r="L43" s="20"/>
    </row>
    <row r="44" spans="1:240" ht="15.75" customHeight="1">
      <c r="A44" s="136" t="s">
        <v>763</v>
      </c>
      <c r="B44" s="315"/>
      <c r="C44" s="316"/>
      <c r="D44" s="316"/>
      <c r="E44" s="107"/>
      <c r="F44" s="107"/>
      <c r="G44" s="107"/>
      <c r="H44" s="107"/>
      <c r="I44" s="107"/>
      <c r="J44" s="107"/>
      <c r="K44" s="107"/>
      <c r="L44" s="20"/>
    </row>
    <row r="45" spans="1:240" ht="15.75" customHeight="1">
      <c r="A45" s="379" t="s">
        <v>766</v>
      </c>
      <c r="B45" s="184"/>
      <c r="C45" s="184"/>
      <c r="D45" s="184"/>
      <c r="E45" s="136"/>
      <c r="F45" s="136"/>
      <c r="G45" s="136"/>
      <c r="H45" s="136"/>
      <c r="I45" s="136"/>
      <c r="J45" s="136"/>
      <c r="K45" s="107"/>
      <c r="L45" s="20"/>
    </row>
    <row r="46" spans="1:240" ht="15.75" customHeight="1">
      <c r="A46" s="379" t="s">
        <v>3</v>
      </c>
      <c r="B46" s="184"/>
      <c r="C46" s="184"/>
      <c r="D46" s="184"/>
      <c r="E46" s="136"/>
      <c r="F46" s="136"/>
      <c r="G46" s="136"/>
      <c r="H46" s="136"/>
      <c r="I46" s="136"/>
      <c r="J46" s="136"/>
      <c r="K46" s="107"/>
      <c r="L46" s="20"/>
    </row>
  </sheetData>
  <sheetProtection algorithmName="SHA-512" hashValue="yhL7ZQFFu7RePfPfnOOBnMgDz5YIPOAJp263hm4PpCPqFWb8DW5cyk4zE9WIosE5sGHuaTMG3DsnI1fcEa21GQ==" saltValue="S14j6ZE1FWB9GjYN5Ix5bQ==" spinCount="100000" sheet="1" objects="1" scenarios="1"/>
  <mergeCells count="2">
    <mergeCell ref="A1:M1"/>
    <mergeCell ref="A10:M10"/>
  </mergeCells>
  <pageMargins left="0.74791666666666667" right="0.74791666666666667" top="0.98402777777777772" bottom="0.98402777777777772" header="0.51180555555555551" footer="0.51180555555555551"/>
  <pageSetup scale="74" firstPageNumber="0" orientation="landscape" horizontalDpi="300"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7030A0"/>
    <pageSetUpPr fitToPage="1"/>
  </sheetPr>
  <dimension ref="A1:P46"/>
  <sheetViews>
    <sheetView workbookViewId="0">
      <selection activeCell="R29" sqref="R29"/>
    </sheetView>
  </sheetViews>
  <sheetFormatPr defaultColWidth="17.28515625" defaultRowHeight="15.75" customHeight="1"/>
  <cols>
    <col min="1" max="1" width="7.140625" style="17" customWidth="1"/>
    <col min="2" max="2" width="6.7109375" style="17" customWidth="1"/>
    <col min="3" max="16" width="8.140625" style="17" customWidth="1"/>
    <col min="17" max="16384" width="17.28515625" style="17"/>
  </cols>
  <sheetData>
    <row r="1" spans="1:16" ht="12.75" customHeight="1">
      <c r="A1" s="46" t="s">
        <v>24</v>
      </c>
      <c r="B1" s="25"/>
      <c r="C1" s="25"/>
      <c r="D1" s="25"/>
      <c r="E1" s="25"/>
      <c r="F1" s="25"/>
      <c r="G1" s="25"/>
      <c r="H1" s="25"/>
      <c r="I1" s="25"/>
      <c r="J1" s="25"/>
      <c r="K1" s="25"/>
      <c r="L1" s="25"/>
      <c r="M1" s="25"/>
      <c r="N1" s="25"/>
      <c r="O1" s="1306">
        <v>42670</v>
      </c>
      <c r="P1" s="1307"/>
    </row>
    <row r="2" spans="1:16" ht="12.75" customHeight="1">
      <c r="A2" s="25"/>
      <c r="B2" s="24"/>
      <c r="C2" s="25"/>
      <c r="D2" s="25"/>
      <c r="E2" s="25"/>
      <c r="F2" s="25"/>
      <c r="G2" s="25"/>
      <c r="H2" s="25"/>
      <c r="I2" s="25"/>
      <c r="J2" s="25"/>
      <c r="K2" s="25"/>
      <c r="L2" s="25"/>
      <c r="M2" s="25"/>
      <c r="N2" s="25"/>
      <c r="O2" s="25"/>
      <c r="P2" s="25"/>
    </row>
    <row r="3" spans="1:16" ht="12.75" customHeight="1">
      <c r="A3" s="271" t="s">
        <v>25</v>
      </c>
      <c r="B3" s="270">
        <v>1.732</v>
      </c>
      <c r="C3" s="296" t="s">
        <v>26</v>
      </c>
      <c r="D3" s="841"/>
      <c r="E3" s="841"/>
      <c r="F3" s="841"/>
      <c r="G3" s="841"/>
      <c r="H3" s="841"/>
      <c r="I3" s="841"/>
      <c r="J3" s="841"/>
      <c r="K3" s="841"/>
      <c r="L3" s="25"/>
      <c r="M3" s="25"/>
      <c r="N3" s="25"/>
      <c r="O3" s="25"/>
      <c r="P3" s="25"/>
    </row>
    <row r="4" spans="1:16" ht="12.75" customHeight="1">
      <c r="A4" s="271" t="s">
        <v>27</v>
      </c>
      <c r="B4" s="9">
        <v>21.2</v>
      </c>
      <c r="C4" s="296" t="s">
        <v>28</v>
      </c>
      <c r="D4" s="841"/>
      <c r="E4" s="841"/>
      <c r="F4" s="841"/>
      <c r="G4" s="841"/>
      <c r="H4" s="841"/>
      <c r="I4" s="841"/>
      <c r="J4" s="841"/>
      <c r="K4" s="841"/>
      <c r="L4" s="25"/>
      <c r="M4" s="25"/>
      <c r="N4" s="25"/>
      <c r="O4" s="25"/>
      <c r="P4" s="25"/>
    </row>
    <row r="5" spans="1:16" ht="12.75" customHeight="1">
      <c r="A5" s="271" t="s">
        <v>29</v>
      </c>
      <c r="B5" s="9">
        <v>480</v>
      </c>
      <c r="C5" s="296" t="s">
        <v>30</v>
      </c>
      <c r="D5" s="841"/>
      <c r="E5" s="841"/>
      <c r="F5" s="841"/>
      <c r="G5" s="482"/>
      <c r="H5" s="482"/>
      <c r="I5" s="366"/>
      <c r="J5" s="366"/>
      <c r="K5" s="841"/>
      <c r="L5" s="25"/>
      <c r="M5" s="25"/>
      <c r="N5" s="25"/>
      <c r="O5" s="25"/>
      <c r="P5" s="25"/>
    </row>
    <row r="6" spans="1:16" ht="12.75" customHeight="1">
      <c r="A6" s="271" t="s">
        <v>32</v>
      </c>
      <c r="B6" s="10">
        <v>0.05</v>
      </c>
      <c r="C6" s="296" t="s">
        <v>700</v>
      </c>
      <c r="D6" s="841"/>
      <c r="E6" s="841"/>
      <c r="F6" s="841"/>
      <c r="G6" s="841"/>
      <c r="H6" s="841"/>
      <c r="I6" s="842">
        <f>B5*B6</f>
        <v>24</v>
      </c>
      <c r="J6" s="252" t="s">
        <v>31</v>
      </c>
      <c r="K6" s="841"/>
      <c r="L6" s="25"/>
      <c r="M6" s="25"/>
      <c r="N6" s="25"/>
      <c r="O6" s="25"/>
      <c r="P6" s="25"/>
    </row>
    <row r="7" spans="1:16" ht="12.75" customHeight="1">
      <c r="A7" s="25"/>
      <c r="B7" s="29"/>
      <c r="C7" s="24"/>
      <c r="D7" s="25"/>
      <c r="E7" s="25"/>
      <c r="F7" s="25"/>
      <c r="G7" s="25"/>
      <c r="H7" s="25"/>
      <c r="I7" s="25"/>
      <c r="J7" s="25"/>
      <c r="K7" s="25"/>
      <c r="L7" s="25"/>
      <c r="M7" s="25"/>
      <c r="N7" s="25"/>
      <c r="O7" s="25"/>
      <c r="P7" s="25"/>
    </row>
    <row r="8" spans="1:16" ht="12.75" customHeight="1">
      <c r="A8" s="117" t="s">
        <v>33</v>
      </c>
      <c r="B8" s="272" t="s">
        <v>34</v>
      </c>
      <c r="C8" s="11">
        <v>150</v>
      </c>
      <c r="D8" s="273">
        <v>250</v>
      </c>
      <c r="E8" s="117">
        <v>500</v>
      </c>
      <c r="F8" s="117">
        <v>750</v>
      </c>
      <c r="G8" s="117">
        <v>1000</v>
      </c>
      <c r="H8" s="117">
        <v>1500</v>
      </c>
      <c r="I8" s="117">
        <v>2000</v>
      </c>
      <c r="J8" s="117">
        <v>2500</v>
      </c>
      <c r="K8" s="117">
        <v>3000</v>
      </c>
      <c r="L8" s="117">
        <v>3500</v>
      </c>
      <c r="M8" s="117">
        <v>4000</v>
      </c>
      <c r="N8" s="117">
        <v>4500</v>
      </c>
      <c r="O8" s="117">
        <v>5000</v>
      </c>
      <c r="P8" s="117">
        <v>5280</v>
      </c>
    </row>
    <row r="9" spans="1:16" ht="12.75" customHeight="1">
      <c r="A9" s="274">
        <v>5</v>
      </c>
      <c r="B9" s="275">
        <v>7.6</v>
      </c>
      <c r="C9" s="276">
        <f t="shared" ref="C9:P18" si="0">((($B$3*$B$4)*C$8)*$B9)/$I$6</f>
        <v>1744.1239999999998</v>
      </c>
      <c r="D9" s="276">
        <f t="shared" si="0"/>
        <v>2906.873333333333</v>
      </c>
      <c r="E9" s="276">
        <f t="shared" si="0"/>
        <v>5813.746666666666</v>
      </c>
      <c r="F9" s="276">
        <f t="shared" si="0"/>
        <v>8720.6199999999972</v>
      </c>
      <c r="G9" s="276">
        <f t="shared" si="0"/>
        <v>11627.493333333332</v>
      </c>
      <c r="H9" s="276">
        <f t="shared" si="0"/>
        <v>17441.239999999994</v>
      </c>
      <c r="I9" s="276">
        <f t="shared" si="0"/>
        <v>23254.986666666664</v>
      </c>
      <c r="J9" s="276">
        <f t="shared" si="0"/>
        <v>29068.733333333326</v>
      </c>
      <c r="K9" s="276">
        <f t="shared" si="0"/>
        <v>34882.479999999989</v>
      </c>
      <c r="L9" s="276">
        <f t="shared" si="0"/>
        <v>40696.226666666662</v>
      </c>
      <c r="M9" s="276">
        <f t="shared" si="0"/>
        <v>46509.973333333328</v>
      </c>
      <c r="N9" s="276">
        <f t="shared" si="0"/>
        <v>52323.719999999994</v>
      </c>
      <c r="O9" s="276">
        <f t="shared" si="0"/>
        <v>58137.466666666653</v>
      </c>
      <c r="P9" s="276">
        <f t="shared" si="0"/>
        <v>61393.164799999991</v>
      </c>
    </row>
    <row r="10" spans="1:16" ht="12.75" customHeight="1">
      <c r="A10" s="277">
        <v>7.5</v>
      </c>
      <c r="B10" s="275">
        <v>11</v>
      </c>
      <c r="C10" s="276">
        <f t="shared" si="0"/>
        <v>2524.39</v>
      </c>
      <c r="D10" s="276">
        <f t="shared" si="0"/>
        <v>4207.3166666666657</v>
      </c>
      <c r="E10" s="276">
        <f t="shared" si="0"/>
        <v>8414.6333333333314</v>
      </c>
      <c r="F10" s="276">
        <f t="shared" si="0"/>
        <v>12621.949999999997</v>
      </c>
      <c r="G10" s="276">
        <f t="shared" si="0"/>
        <v>16829.266666666663</v>
      </c>
      <c r="H10" s="276">
        <f t="shared" si="0"/>
        <v>25243.899999999994</v>
      </c>
      <c r="I10" s="276">
        <f t="shared" si="0"/>
        <v>33658.533333333326</v>
      </c>
      <c r="J10" s="276">
        <f t="shared" si="0"/>
        <v>42073.166666666664</v>
      </c>
      <c r="K10" s="276">
        <f t="shared" si="0"/>
        <v>50487.799999999988</v>
      </c>
      <c r="L10" s="276">
        <f t="shared" si="0"/>
        <v>58902.43333333332</v>
      </c>
      <c r="M10" s="276">
        <f t="shared" si="0"/>
        <v>67317.066666666651</v>
      </c>
      <c r="N10" s="276">
        <f t="shared" si="0"/>
        <v>75731.7</v>
      </c>
      <c r="O10" s="276">
        <f t="shared" si="0"/>
        <v>84146.333333333328</v>
      </c>
      <c r="P10" s="276">
        <f t="shared" si="0"/>
        <v>88858.527999999991</v>
      </c>
    </row>
    <row r="11" spans="1:16" ht="12.75" customHeight="1">
      <c r="A11" s="274">
        <v>10</v>
      </c>
      <c r="B11" s="275">
        <v>14</v>
      </c>
      <c r="C11" s="276">
        <f t="shared" si="0"/>
        <v>3212.8599999999992</v>
      </c>
      <c r="D11" s="276">
        <f t="shared" si="0"/>
        <v>5354.7666666666655</v>
      </c>
      <c r="E11" s="276">
        <f t="shared" si="0"/>
        <v>10709.533333333331</v>
      </c>
      <c r="F11" s="276">
        <f t="shared" si="0"/>
        <v>16064.299999999997</v>
      </c>
      <c r="G11" s="276">
        <f t="shared" si="0"/>
        <v>21419.066666666662</v>
      </c>
      <c r="H11" s="276">
        <f t="shared" si="0"/>
        <v>32128.599999999995</v>
      </c>
      <c r="I11" s="276">
        <f t="shared" si="0"/>
        <v>42838.133333333324</v>
      </c>
      <c r="J11" s="276">
        <f t="shared" si="0"/>
        <v>53547.666666666657</v>
      </c>
      <c r="K11" s="276">
        <f t="shared" si="0"/>
        <v>64257.19999999999</v>
      </c>
      <c r="L11" s="276">
        <f t="shared" si="0"/>
        <v>74966.733333333323</v>
      </c>
      <c r="M11" s="276">
        <f t="shared" si="0"/>
        <v>85676.266666666648</v>
      </c>
      <c r="N11" s="276">
        <f t="shared" si="0"/>
        <v>96385.799999999988</v>
      </c>
      <c r="O11" s="276">
        <f t="shared" si="0"/>
        <v>107095.33333333331</v>
      </c>
      <c r="P11" s="276">
        <f t="shared" si="0"/>
        <v>113092.67199999998</v>
      </c>
    </row>
    <row r="12" spans="1:16" ht="12.75" customHeight="1">
      <c r="A12" s="274">
        <v>15</v>
      </c>
      <c r="B12" s="275">
        <v>21</v>
      </c>
      <c r="C12" s="276">
        <f t="shared" si="0"/>
        <v>4819.29</v>
      </c>
      <c r="D12" s="276">
        <f t="shared" si="0"/>
        <v>8032.1499999999987</v>
      </c>
      <c r="E12" s="276">
        <f t="shared" si="0"/>
        <v>16064.299999999997</v>
      </c>
      <c r="F12" s="276">
        <f t="shared" si="0"/>
        <v>24096.449999999997</v>
      </c>
      <c r="G12" s="276">
        <f t="shared" si="0"/>
        <v>32128.599999999995</v>
      </c>
      <c r="H12" s="276">
        <f t="shared" si="0"/>
        <v>48192.899999999994</v>
      </c>
      <c r="I12" s="276">
        <f t="shared" si="0"/>
        <v>64257.19999999999</v>
      </c>
      <c r="J12" s="276">
        <f t="shared" si="0"/>
        <v>80321.499999999985</v>
      </c>
      <c r="K12" s="276">
        <f t="shared" si="0"/>
        <v>96385.799999999988</v>
      </c>
      <c r="L12" s="276">
        <f t="shared" si="0"/>
        <v>112450.09999999998</v>
      </c>
      <c r="M12" s="276">
        <f t="shared" si="0"/>
        <v>128514.39999999998</v>
      </c>
      <c r="N12" s="276">
        <f t="shared" si="0"/>
        <v>144578.69999999998</v>
      </c>
      <c r="O12" s="276">
        <f t="shared" si="0"/>
        <v>160642.99999999997</v>
      </c>
      <c r="P12" s="276">
        <f t="shared" si="0"/>
        <v>169639.00799999997</v>
      </c>
    </row>
    <row r="13" spans="1:16" ht="12.75" customHeight="1">
      <c r="A13" s="274">
        <v>20</v>
      </c>
      <c r="B13" s="275">
        <v>27</v>
      </c>
      <c r="C13" s="276">
        <f t="shared" si="0"/>
        <v>6196.23</v>
      </c>
      <c r="D13" s="276">
        <f t="shared" si="0"/>
        <v>10327.049999999997</v>
      </c>
      <c r="E13" s="276">
        <f t="shared" si="0"/>
        <v>20654.099999999995</v>
      </c>
      <c r="F13" s="276">
        <f t="shared" si="0"/>
        <v>30981.149999999994</v>
      </c>
      <c r="G13" s="276">
        <f t="shared" si="0"/>
        <v>41308.19999999999</v>
      </c>
      <c r="H13" s="276">
        <f t="shared" si="0"/>
        <v>61962.299999999988</v>
      </c>
      <c r="I13" s="276">
        <f t="shared" si="0"/>
        <v>82616.39999999998</v>
      </c>
      <c r="J13" s="276">
        <f t="shared" si="0"/>
        <v>103270.49999999999</v>
      </c>
      <c r="K13" s="276">
        <f t="shared" si="0"/>
        <v>123924.59999999998</v>
      </c>
      <c r="L13" s="276">
        <f t="shared" si="0"/>
        <v>144578.69999999998</v>
      </c>
      <c r="M13" s="276">
        <f t="shared" si="0"/>
        <v>165232.79999999996</v>
      </c>
      <c r="N13" s="276">
        <f t="shared" si="0"/>
        <v>185886.9</v>
      </c>
      <c r="O13" s="276">
        <f t="shared" si="0"/>
        <v>206540.99999999997</v>
      </c>
      <c r="P13" s="276">
        <f t="shared" si="0"/>
        <v>218107.29599999997</v>
      </c>
    </row>
    <row r="14" spans="1:16" ht="12.75" customHeight="1">
      <c r="A14" s="274">
        <v>25</v>
      </c>
      <c r="B14" s="275">
        <v>34</v>
      </c>
      <c r="C14" s="276">
        <f t="shared" si="0"/>
        <v>7802.6599999999989</v>
      </c>
      <c r="D14" s="276">
        <f t="shared" si="0"/>
        <v>13004.433333333332</v>
      </c>
      <c r="E14" s="276">
        <f t="shared" si="0"/>
        <v>26008.866666666665</v>
      </c>
      <c r="F14" s="276">
        <f t="shared" si="0"/>
        <v>39013.299999999996</v>
      </c>
      <c r="G14" s="276">
        <f t="shared" si="0"/>
        <v>52017.73333333333</v>
      </c>
      <c r="H14" s="276">
        <f t="shared" si="0"/>
        <v>78026.599999999991</v>
      </c>
      <c r="I14" s="276">
        <f t="shared" si="0"/>
        <v>104035.46666666666</v>
      </c>
      <c r="J14" s="276">
        <f t="shared" si="0"/>
        <v>130044.33333333331</v>
      </c>
      <c r="K14" s="276">
        <f t="shared" si="0"/>
        <v>156053.19999999998</v>
      </c>
      <c r="L14" s="276">
        <f t="shared" si="0"/>
        <v>182062.06666666665</v>
      </c>
      <c r="M14" s="276">
        <f t="shared" si="0"/>
        <v>208070.93333333332</v>
      </c>
      <c r="N14" s="276">
        <f t="shared" si="0"/>
        <v>234079.79999999996</v>
      </c>
      <c r="O14" s="276">
        <f t="shared" si="0"/>
        <v>260088.66666666663</v>
      </c>
      <c r="P14" s="276">
        <f t="shared" si="0"/>
        <v>274653.63199999993</v>
      </c>
    </row>
    <row r="15" spans="1:16" ht="12.75" customHeight="1">
      <c r="A15" s="274">
        <v>30</v>
      </c>
      <c r="B15" s="275">
        <v>40</v>
      </c>
      <c r="C15" s="276">
        <f t="shared" si="0"/>
        <v>9179.5999999999985</v>
      </c>
      <c r="D15" s="276">
        <f t="shared" si="0"/>
        <v>15299.33333333333</v>
      </c>
      <c r="E15" s="276">
        <f t="shared" si="0"/>
        <v>30598.666666666661</v>
      </c>
      <c r="F15" s="276">
        <f t="shared" si="0"/>
        <v>45897.999999999993</v>
      </c>
      <c r="G15" s="276">
        <f t="shared" si="0"/>
        <v>61197.333333333321</v>
      </c>
      <c r="H15" s="276">
        <f t="shared" si="0"/>
        <v>91795.999999999985</v>
      </c>
      <c r="I15" s="276">
        <f t="shared" si="0"/>
        <v>122394.66666666664</v>
      </c>
      <c r="J15" s="276">
        <f t="shared" si="0"/>
        <v>152993.33333333331</v>
      </c>
      <c r="K15" s="276">
        <f t="shared" si="0"/>
        <v>183591.99999999997</v>
      </c>
      <c r="L15" s="276">
        <f t="shared" si="0"/>
        <v>214190.66666666663</v>
      </c>
      <c r="M15" s="276">
        <f t="shared" si="0"/>
        <v>244789.33333333328</v>
      </c>
      <c r="N15" s="276">
        <f t="shared" si="0"/>
        <v>275388</v>
      </c>
      <c r="O15" s="276">
        <f t="shared" si="0"/>
        <v>305986.66666666663</v>
      </c>
      <c r="P15" s="276">
        <f t="shared" si="0"/>
        <v>323121.91999999998</v>
      </c>
    </row>
    <row r="16" spans="1:16" ht="12.75" customHeight="1">
      <c r="A16" s="274">
        <v>40</v>
      </c>
      <c r="B16" s="275">
        <v>52</v>
      </c>
      <c r="C16" s="276">
        <f t="shared" si="0"/>
        <v>11933.479999999998</v>
      </c>
      <c r="D16" s="276">
        <f t="shared" si="0"/>
        <v>19889.133333333331</v>
      </c>
      <c r="E16" s="276">
        <f t="shared" si="0"/>
        <v>39778.266666666663</v>
      </c>
      <c r="F16" s="276">
        <f t="shared" si="0"/>
        <v>59667.399999999994</v>
      </c>
      <c r="G16" s="276">
        <f t="shared" si="0"/>
        <v>79556.533333333326</v>
      </c>
      <c r="H16" s="276">
        <f t="shared" si="0"/>
        <v>119334.79999999999</v>
      </c>
      <c r="I16" s="276">
        <f t="shared" si="0"/>
        <v>159113.06666666665</v>
      </c>
      <c r="J16" s="276">
        <f t="shared" si="0"/>
        <v>198891.33333333328</v>
      </c>
      <c r="K16" s="276">
        <f t="shared" si="0"/>
        <v>238669.59999999998</v>
      </c>
      <c r="L16" s="276">
        <f t="shared" si="0"/>
        <v>278447.86666666664</v>
      </c>
      <c r="M16" s="276">
        <f t="shared" si="0"/>
        <v>318226.1333333333</v>
      </c>
      <c r="N16" s="276">
        <f t="shared" si="0"/>
        <v>358004.39999999997</v>
      </c>
      <c r="O16" s="276">
        <f t="shared" si="0"/>
        <v>397782.66666666657</v>
      </c>
      <c r="P16" s="276">
        <f t="shared" si="0"/>
        <v>420058.49599999998</v>
      </c>
    </row>
    <row r="17" spans="1:16" ht="12.75" customHeight="1">
      <c r="A17" s="274">
        <v>50</v>
      </c>
      <c r="B17" s="275">
        <v>65</v>
      </c>
      <c r="C17" s="276">
        <f t="shared" si="0"/>
        <v>14916.849999999999</v>
      </c>
      <c r="D17" s="276">
        <f t="shared" si="0"/>
        <v>24861.416666666661</v>
      </c>
      <c r="E17" s="276">
        <f t="shared" si="0"/>
        <v>49722.833333333321</v>
      </c>
      <c r="F17" s="276">
        <f t="shared" si="0"/>
        <v>74584.249999999985</v>
      </c>
      <c r="G17" s="276">
        <f t="shared" si="0"/>
        <v>99445.666666666642</v>
      </c>
      <c r="H17" s="276">
        <f t="shared" si="0"/>
        <v>149168.49999999997</v>
      </c>
      <c r="I17" s="276">
        <f t="shared" si="0"/>
        <v>198891.33333333328</v>
      </c>
      <c r="J17" s="276">
        <f t="shared" si="0"/>
        <v>248614.16666666663</v>
      </c>
      <c r="K17" s="276">
        <f t="shared" si="0"/>
        <v>298336.99999999994</v>
      </c>
      <c r="L17" s="276">
        <f t="shared" si="0"/>
        <v>348059.83333333331</v>
      </c>
      <c r="M17" s="276">
        <f t="shared" si="0"/>
        <v>397782.66666666657</v>
      </c>
      <c r="N17" s="276">
        <f t="shared" si="0"/>
        <v>447505.5</v>
      </c>
      <c r="O17" s="276">
        <f t="shared" si="0"/>
        <v>497228.33333333326</v>
      </c>
      <c r="P17" s="276">
        <f t="shared" si="0"/>
        <v>525073.12</v>
      </c>
    </row>
    <row r="18" spans="1:16" ht="12.75" customHeight="1">
      <c r="A18" s="274"/>
      <c r="B18" s="9">
        <v>10</v>
      </c>
      <c r="C18" s="276">
        <f t="shared" si="0"/>
        <v>2294.8999999999996</v>
      </c>
      <c r="D18" s="276">
        <f t="shared" si="0"/>
        <v>3824.8333333333326</v>
      </c>
      <c r="E18" s="276">
        <f t="shared" si="0"/>
        <v>7649.6666666666652</v>
      </c>
      <c r="F18" s="276">
        <f t="shared" si="0"/>
        <v>11474.499999999998</v>
      </c>
      <c r="G18" s="276">
        <f t="shared" si="0"/>
        <v>15299.33333333333</v>
      </c>
      <c r="H18" s="276">
        <f t="shared" si="0"/>
        <v>22948.999999999996</v>
      </c>
      <c r="I18" s="276">
        <f t="shared" si="0"/>
        <v>30598.666666666661</v>
      </c>
      <c r="J18" s="276">
        <f t="shared" si="0"/>
        <v>38248.333333333328</v>
      </c>
      <c r="K18" s="276">
        <f t="shared" si="0"/>
        <v>45897.999999999993</v>
      </c>
      <c r="L18" s="276">
        <f t="shared" si="0"/>
        <v>53547.666666666657</v>
      </c>
      <c r="M18" s="276">
        <f t="shared" si="0"/>
        <v>61197.333333333321</v>
      </c>
      <c r="N18" s="276">
        <f t="shared" si="0"/>
        <v>68847</v>
      </c>
      <c r="O18" s="276">
        <f t="shared" si="0"/>
        <v>76496.666666666657</v>
      </c>
      <c r="P18" s="276">
        <f t="shared" si="0"/>
        <v>80780.479999999996</v>
      </c>
    </row>
    <row r="19" spans="1:16" ht="12.75" customHeight="1">
      <c r="A19" s="29"/>
      <c r="B19" s="29"/>
      <c r="C19" s="29" t="s">
        <v>35</v>
      </c>
      <c r="D19" s="29"/>
      <c r="E19" s="29"/>
      <c r="F19" s="29"/>
      <c r="G19" s="29"/>
      <c r="H19" s="29"/>
      <c r="I19" s="29"/>
      <c r="J19" s="29"/>
      <c r="K19" s="29"/>
      <c r="L19" s="29"/>
      <c r="M19" s="29"/>
      <c r="N19" s="29"/>
      <c r="O19" s="29"/>
      <c r="P19" s="29"/>
    </row>
    <row r="20" spans="1:16" ht="12.75" customHeight="1">
      <c r="A20" s="25"/>
      <c r="B20" s="25"/>
      <c r="C20" s="25"/>
      <c r="D20" s="25"/>
      <c r="E20" s="25"/>
      <c r="F20" s="289"/>
      <c r="G20" s="289"/>
      <c r="H20" s="289"/>
      <c r="I20" s="289"/>
      <c r="J20" s="289"/>
      <c r="K20" s="289"/>
      <c r="L20" s="25"/>
      <c r="M20" s="25"/>
      <c r="N20" s="25"/>
      <c r="O20" s="25"/>
      <c r="P20" s="25"/>
    </row>
    <row r="21" spans="1:16" ht="12.75" customHeight="1">
      <c r="A21" s="278" t="s">
        <v>4</v>
      </c>
      <c r="B21" s="278" t="s">
        <v>5</v>
      </c>
      <c r="C21" s="25"/>
      <c r="D21" s="25"/>
      <c r="E21" s="25"/>
      <c r="F21" s="665" t="s">
        <v>759</v>
      </c>
      <c r="G21" s="1207" t="s">
        <v>930</v>
      </c>
      <c r="H21" s="1207"/>
      <c r="I21" s="1207"/>
      <c r="J21" s="1207"/>
      <c r="K21" s="1207"/>
      <c r="L21" s="1207"/>
      <c r="M21" s="1207"/>
      <c r="N21" s="1207"/>
      <c r="O21" s="1207"/>
      <c r="P21" s="1207"/>
    </row>
    <row r="22" spans="1:16" ht="12.75" customHeight="1">
      <c r="A22" s="279">
        <v>18</v>
      </c>
      <c r="B22" s="280">
        <v>1620</v>
      </c>
      <c r="C22" s="137"/>
      <c r="D22" s="25"/>
      <c r="E22" s="25"/>
      <c r="F22" s="41"/>
      <c r="G22" s="1207" t="s">
        <v>639</v>
      </c>
      <c r="H22" s="1207"/>
      <c r="I22" s="1207"/>
      <c r="J22" s="1207"/>
      <c r="K22" s="1207"/>
      <c r="L22" s="1207"/>
      <c r="M22" s="1207"/>
      <c r="N22" s="1207"/>
      <c r="O22" s="1207"/>
      <c r="P22" s="1207"/>
    </row>
    <row r="23" spans="1:16" ht="12.75" customHeight="1">
      <c r="A23" s="279">
        <v>16</v>
      </c>
      <c r="B23" s="280">
        <v>2580</v>
      </c>
      <c r="C23" s="137"/>
      <c r="D23" s="25"/>
      <c r="E23" s="25"/>
      <c r="F23" s="41"/>
      <c r="G23" s="25"/>
      <c r="H23" s="25"/>
      <c r="I23" s="25"/>
      <c r="J23" s="25"/>
      <c r="K23" s="25"/>
      <c r="L23" s="25"/>
      <c r="M23" s="25"/>
      <c r="N23" s="25"/>
      <c r="O23" s="25"/>
      <c r="P23" s="25"/>
    </row>
    <row r="24" spans="1:16" ht="12.75" customHeight="1">
      <c r="A24" s="279">
        <v>14</v>
      </c>
      <c r="B24" s="280">
        <v>4110</v>
      </c>
      <c r="C24" s="137"/>
      <c r="D24" s="25"/>
      <c r="E24" s="25"/>
      <c r="F24" s="41"/>
      <c r="G24" s="25"/>
      <c r="H24" s="25"/>
      <c r="I24" s="25"/>
      <c r="J24" s="25"/>
      <c r="K24" s="25"/>
      <c r="L24" s="25"/>
      <c r="M24" s="25"/>
      <c r="N24" s="25"/>
      <c r="O24" s="25"/>
      <c r="P24" s="25"/>
    </row>
    <row r="25" spans="1:16" ht="12.75" customHeight="1">
      <c r="A25" s="279">
        <v>12</v>
      </c>
      <c r="B25" s="280">
        <v>6530</v>
      </c>
      <c r="C25" s="137"/>
      <c r="D25" s="25"/>
      <c r="E25" s="25"/>
      <c r="F25" s="25"/>
      <c r="G25" s="25"/>
      <c r="H25" s="25"/>
      <c r="I25" s="25"/>
      <c r="J25" s="25"/>
      <c r="K25" s="25"/>
      <c r="L25" s="25"/>
      <c r="M25" s="25"/>
      <c r="N25" s="25"/>
      <c r="O25" s="25"/>
      <c r="P25" s="25"/>
    </row>
    <row r="26" spans="1:16" ht="12.75" customHeight="1">
      <c r="A26" s="279">
        <v>10</v>
      </c>
      <c r="B26" s="280">
        <v>10380</v>
      </c>
      <c r="C26" s="137"/>
      <c r="D26" s="25"/>
      <c r="E26" s="25"/>
      <c r="F26" s="25"/>
      <c r="G26" s="25"/>
      <c r="H26" s="25"/>
      <c r="I26" s="25"/>
      <c r="J26" s="25"/>
      <c r="K26" s="25"/>
      <c r="L26" s="25"/>
      <c r="M26" s="25"/>
      <c r="N26" s="25"/>
      <c r="O26" s="25"/>
      <c r="P26" s="25"/>
    </row>
    <row r="27" spans="1:16" ht="12.75" customHeight="1">
      <c r="A27" s="279">
        <v>8</v>
      </c>
      <c r="B27" s="280">
        <v>16510</v>
      </c>
      <c r="C27" s="137"/>
      <c r="D27" s="25"/>
      <c r="E27" s="25"/>
      <c r="G27" s="25"/>
      <c r="H27" s="25"/>
      <c r="I27" s="25"/>
      <c r="J27" s="25"/>
      <c r="K27" s="25"/>
      <c r="L27" s="25"/>
      <c r="M27" s="25"/>
      <c r="N27" s="25"/>
      <c r="O27" s="25"/>
      <c r="P27" s="25"/>
    </row>
    <row r="28" spans="1:16" ht="12.75" customHeight="1">
      <c r="A28" s="279">
        <v>6</v>
      </c>
      <c r="B28" s="280">
        <v>26240</v>
      </c>
      <c r="C28" s="137"/>
      <c r="D28" s="25"/>
      <c r="E28" s="25"/>
      <c r="G28" s="25"/>
      <c r="H28" s="25"/>
      <c r="I28" s="25"/>
      <c r="J28" s="25"/>
      <c r="K28" s="25"/>
      <c r="L28" s="25"/>
      <c r="M28" s="25"/>
      <c r="N28" s="25"/>
      <c r="O28" s="25"/>
      <c r="P28" s="25"/>
    </row>
    <row r="29" spans="1:16" ht="12.75" customHeight="1">
      <c r="A29" s="279">
        <v>4</v>
      </c>
      <c r="B29" s="280">
        <v>41740</v>
      </c>
      <c r="C29" s="137"/>
      <c r="D29" s="25"/>
      <c r="E29" s="25"/>
      <c r="G29" s="25"/>
      <c r="H29" s="25"/>
      <c r="I29" s="25"/>
      <c r="J29" s="25"/>
      <c r="K29" s="25"/>
      <c r="L29" s="25"/>
      <c r="M29" s="25"/>
      <c r="N29" s="25"/>
      <c r="O29" s="25"/>
      <c r="P29" s="25"/>
    </row>
    <row r="30" spans="1:16" ht="12.75" customHeight="1">
      <c r="A30" s="279">
        <v>3</v>
      </c>
      <c r="B30" s="280">
        <v>52620</v>
      </c>
      <c r="C30" s="137"/>
      <c r="D30" s="25"/>
      <c r="E30" s="25"/>
      <c r="G30" s="25"/>
      <c r="H30" s="25"/>
      <c r="I30" s="25"/>
      <c r="J30" s="25"/>
      <c r="K30" s="25"/>
      <c r="L30" s="25"/>
      <c r="M30" s="25"/>
      <c r="N30" s="25"/>
      <c r="O30" s="25"/>
      <c r="P30" s="25"/>
    </row>
    <row r="31" spans="1:16" ht="12.75" customHeight="1">
      <c r="A31" s="279">
        <v>2</v>
      </c>
      <c r="B31" s="280">
        <v>66360</v>
      </c>
      <c r="C31" s="137"/>
      <c r="D31" s="25"/>
      <c r="E31" s="25"/>
      <c r="F31" s="25"/>
      <c r="G31" s="25"/>
      <c r="H31" s="25"/>
      <c r="I31" s="25"/>
      <c r="J31" s="25"/>
      <c r="K31" s="25"/>
      <c r="L31" s="25"/>
      <c r="M31" s="25"/>
      <c r="N31" s="25"/>
      <c r="O31" s="25"/>
      <c r="P31" s="25"/>
    </row>
    <row r="32" spans="1:16" ht="12.75" customHeight="1">
      <c r="A32" s="279">
        <v>1</v>
      </c>
      <c r="B32" s="280">
        <v>83690</v>
      </c>
      <c r="C32" s="281" t="s">
        <v>39</v>
      </c>
      <c r="D32" s="282" t="s">
        <v>40</v>
      </c>
      <c r="E32" s="25"/>
      <c r="F32" s="25"/>
      <c r="G32" s="25"/>
      <c r="H32" s="25"/>
      <c r="I32" s="25"/>
      <c r="J32" s="25"/>
      <c r="K32" s="25"/>
      <c r="L32" s="25"/>
      <c r="M32" s="25"/>
      <c r="N32" s="25"/>
      <c r="O32" s="25"/>
      <c r="P32" s="25"/>
    </row>
    <row r="33" spans="1:16" ht="12.75" customHeight="1">
      <c r="A33" s="283" t="s">
        <v>18</v>
      </c>
      <c r="B33" s="280">
        <v>105600</v>
      </c>
      <c r="C33" s="275">
        <v>211200</v>
      </c>
      <c r="D33" s="275">
        <v>316800</v>
      </c>
      <c r="E33" s="137"/>
      <c r="F33" s="25"/>
      <c r="G33" s="25"/>
      <c r="H33" s="25"/>
      <c r="I33" s="25"/>
      <c r="J33" s="25"/>
      <c r="K33" s="25"/>
      <c r="L33" s="25"/>
      <c r="M33" s="25"/>
      <c r="N33" s="25"/>
      <c r="O33" s="25"/>
      <c r="P33" s="25"/>
    </row>
    <row r="34" spans="1:16" ht="12.75" customHeight="1">
      <c r="A34" s="283" t="s">
        <v>20</v>
      </c>
      <c r="B34" s="280">
        <v>133100</v>
      </c>
      <c r="C34" s="275">
        <v>266200</v>
      </c>
      <c r="D34" s="275">
        <v>399300</v>
      </c>
      <c r="E34" s="137"/>
      <c r="F34" s="25"/>
      <c r="G34" s="25"/>
      <c r="H34" s="25"/>
      <c r="I34" s="25"/>
      <c r="J34" s="25"/>
      <c r="K34" s="25"/>
      <c r="L34" s="25"/>
      <c r="M34" s="25"/>
      <c r="N34" s="25"/>
      <c r="O34" s="25"/>
      <c r="P34" s="25"/>
    </row>
    <row r="35" spans="1:16" ht="12.75" customHeight="1">
      <c r="A35" s="279" t="s">
        <v>22</v>
      </c>
      <c r="B35" s="280">
        <v>167800</v>
      </c>
      <c r="C35" s="275">
        <v>335600</v>
      </c>
      <c r="D35" s="275">
        <v>503400</v>
      </c>
      <c r="E35" s="137"/>
      <c r="F35" s="379" t="s">
        <v>666</v>
      </c>
      <c r="G35" s="25"/>
      <c r="H35" s="25"/>
      <c r="I35" s="25"/>
      <c r="J35" s="25"/>
      <c r="K35" s="25"/>
      <c r="L35" s="25"/>
      <c r="M35" s="25"/>
      <c r="N35" s="25"/>
      <c r="O35" s="25"/>
      <c r="P35" s="25"/>
    </row>
    <row r="36" spans="1:16" ht="12.75" customHeight="1">
      <c r="A36" s="279" t="s">
        <v>23</v>
      </c>
      <c r="B36" s="280">
        <v>211600</v>
      </c>
      <c r="C36" s="275">
        <v>423200</v>
      </c>
      <c r="D36" s="275">
        <v>634800</v>
      </c>
      <c r="E36" s="137"/>
      <c r="F36" s="380" t="s">
        <v>762</v>
      </c>
      <c r="G36" s="365"/>
      <c r="H36" s="365"/>
      <c r="I36" s="365"/>
      <c r="J36" s="365"/>
      <c r="K36" s="365"/>
      <c r="L36" s="365"/>
      <c r="M36" s="365"/>
      <c r="N36" s="365"/>
      <c r="O36" s="365"/>
      <c r="P36" s="365"/>
    </row>
    <row r="37" spans="1:16" ht="12.75" customHeight="1">
      <c r="A37" s="279">
        <v>250</v>
      </c>
      <c r="B37" s="280">
        <v>250000</v>
      </c>
      <c r="C37" s="275">
        <v>500000</v>
      </c>
      <c r="D37" s="275">
        <v>750000</v>
      </c>
      <c r="E37" s="137"/>
      <c r="F37" s="215" t="s">
        <v>763</v>
      </c>
      <c r="G37" s="365"/>
      <c r="H37" s="365"/>
      <c r="I37" s="365"/>
      <c r="J37" s="365"/>
      <c r="K37" s="365"/>
      <c r="L37" s="365"/>
      <c r="M37" s="365"/>
      <c r="N37" s="365"/>
      <c r="O37" s="365"/>
      <c r="P37" s="365"/>
    </row>
    <row r="38" spans="1:16" ht="12.75" customHeight="1">
      <c r="A38" s="279">
        <v>400</v>
      </c>
      <c r="B38" s="280">
        <v>400000</v>
      </c>
      <c r="C38" s="275">
        <v>800000</v>
      </c>
      <c r="D38" s="275">
        <v>1200000</v>
      </c>
      <c r="E38" s="137"/>
      <c r="F38" s="379" t="s">
        <v>766</v>
      </c>
      <c r="G38" s="365"/>
      <c r="H38" s="365"/>
      <c r="I38" s="365"/>
      <c r="J38" s="365"/>
      <c r="K38" s="365"/>
      <c r="L38" s="365"/>
      <c r="M38" s="365"/>
      <c r="N38" s="365"/>
      <c r="O38" s="365"/>
      <c r="P38" s="365"/>
    </row>
    <row r="39" spans="1:16" ht="12.75" customHeight="1">
      <c r="A39" s="279">
        <v>500</v>
      </c>
      <c r="B39" s="280">
        <v>500000</v>
      </c>
      <c r="C39" s="275">
        <v>1000000</v>
      </c>
      <c r="D39" s="275">
        <v>1500000</v>
      </c>
      <c r="E39" s="137"/>
      <c r="F39" s="379" t="s">
        <v>3</v>
      </c>
      <c r="G39" s="365"/>
      <c r="H39" s="365"/>
      <c r="I39" s="365"/>
      <c r="J39" s="365"/>
      <c r="K39" s="365"/>
      <c r="L39" s="365"/>
      <c r="M39" s="365"/>
      <c r="N39" s="365"/>
      <c r="O39" s="365"/>
      <c r="P39" s="365"/>
    </row>
    <row r="40" spans="1:16" ht="12.75" customHeight="1">
      <c r="A40" s="25"/>
      <c r="B40" s="25"/>
      <c r="C40" s="25"/>
      <c r="D40" s="25"/>
      <c r="E40" s="25"/>
      <c r="F40" s="365"/>
      <c r="G40" s="365"/>
      <c r="H40" s="365"/>
      <c r="I40" s="365"/>
      <c r="J40" s="365"/>
      <c r="K40" s="365"/>
      <c r="L40" s="365"/>
      <c r="M40" s="365"/>
      <c r="N40" s="365"/>
      <c r="O40" s="365"/>
      <c r="P40" s="365"/>
    </row>
    <row r="41" spans="1:16" ht="15.75" hidden="1" customHeight="1">
      <c r="A41" s="17">
        <v>1.732</v>
      </c>
    </row>
    <row r="42" spans="1:16" ht="15.75" hidden="1" customHeight="1">
      <c r="A42" s="17">
        <v>2</v>
      </c>
    </row>
    <row r="43" spans="1:16" ht="15.75" hidden="1" customHeight="1"/>
    <row r="44" spans="1:16" ht="15.75" hidden="1" customHeight="1">
      <c r="A44" s="17">
        <v>21.2</v>
      </c>
    </row>
    <row r="45" spans="1:16" ht="15.75" hidden="1" customHeight="1">
      <c r="A45" s="17">
        <v>12.9</v>
      </c>
    </row>
    <row r="46" spans="1:16" ht="15.75" hidden="1" customHeight="1"/>
  </sheetData>
  <sheetProtection algorithmName="SHA-512" hashValue="UqVcKfzHTGonamvpUBxY4lfvlsMfek1h9p1BzNtFiIWO/abp9WYKu7a7Yh/LcDJV98+8qucUJqYt4WI91BHwgA==" saltValue="80eDbPIB3M6SL9KHp9rHEQ==" spinCount="100000" sheet="1" objects="1" scenarios="1"/>
  <mergeCells count="3">
    <mergeCell ref="G21:P21"/>
    <mergeCell ref="G22:P22"/>
    <mergeCell ref="O1:P1"/>
  </mergeCells>
  <dataValidations count="2">
    <dataValidation type="list" allowBlank="1" showInputMessage="1" showErrorMessage="1" prompt="Use 2 for Single Phase or 1.732 for 3 Phase" sqref="B3" xr:uid="{00000000-0002-0000-1F00-000000000000}">
      <formula1>$A$41:$A$42</formula1>
    </dataValidation>
    <dataValidation type="list" allowBlank="1" showInputMessage="1" showErrorMessage="1" prompt="Choose 21.2 for AL or 12.9 for CU" sqref="B4" xr:uid="{00000000-0002-0000-1F00-000001000000}">
      <formula1>$A$44:$A$45</formula1>
    </dataValidation>
  </dataValidations>
  <pageMargins left="0.74791666666666667" right="0.74791666666666667" top="0.98402777777777772" bottom="0.98402777777777772" header="0.51180555555555551" footer="0.51180555555555551"/>
  <pageSetup scale="96" firstPageNumber="0" orientation="landscape"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7030A0"/>
    <pageSetUpPr fitToPage="1"/>
  </sheetPr>
  <dimension ref="A1:IJ55"/>
  <sheetViews>
    <sheetView workbookViewId="0">
      <selection activeCell="A18" sqref="A18"/>
    </sheetView>
  </sheetViews>
  <sheetFormatPr defaultColWidth="11.5703125" defaultRowHeight="15.75" customHeight="1"/>
  <cols>
    <col min="1" max="1" width="17.140625" style="17" customWidth="1"/>
    <col min="2" max="2" width="11.85546875" style="17" customWidth="1"/>
    <col min="3" max="3" width="17.140625" style="17" customWidth="1"/>
    <col min="4" max="4" width="10.28515625" style="17" customWidth="1"/>
    <col min="5" max="5" width="17.140625" style="17" customWidth="1"/>
    <col min="6" max="6" width="7.28515625" style="17" customWidth="1"/>
    <col min="7" max="8" width="11" style="17" customWidth="1"/>
    <col min="9" max="244" width="17.28515625" style="17" customWidth="1"/>
    <col min="245" max="16384" width="11.5703125" style="18"/>
  </cols>
  <sheetData>
    <row r="1" spans="1:244" ht="12.75" customHeight="1">
      <c r="A1" s="22" t="s">
        <v>61</v>
      </c>
      <c r="B1" s="23"/>
      <c r="C1" s="23"/>
      <c r="D1" s="23"/>
      <c r="E1" s="23"/>
      <c r="F1" s="23"/>
    </row>
    <row r="2" spans="1:244" ht="12.75" customHeight="1">
      <c r="A2" s="24"/>
      <c r="C2" s="25"/>
      <c r="F2" s="25"/>
      <c r="IJ2" s="18"/>
    </row>
    <row r="3" spans="1:244" ht="12.75" customHeight="1">
      <c r="A3" s="26">
        <v>480</v>
      </c>
      <c r="B3" s="27" t="s">
        <v>29</v>
      </c>
      <c r="C3" s="25"/>
      <c r="F3" s="25"/>
      <c r="G3" s="234" t="s">
        <v>4</v>
      </c>
      <c r="H3" s="234" t="s">
        <v>42</v>
      </c>
      <c r="IJ3" s="18"/>
    </row>
    <row r="4" spans="1:244" ht="12.75" customHeight="1">
      <c r="A4" s="26">
        <v>150</v>
      </c>
      <c r="B4" s="27" t="s">
        <v>62</v>
      </c>
      <c r="C4" s="25"/>
      <c r="F4" s="25"/>
      <c r="G4" s="234">
        <v>18</v>
      </c>
      <c r="H4" s="234">
        <v>1620</v>
      </c>
      <c r="IJ4" s="18"/>
    </row>
    <row r="5" spans="1:244" ht="12.75" customHeight="1">
      <c r="A5" s="26">
        <v>1500</v>
      </c>
      <c r="B5" s="27" t="s">
        <v>63</v>
      </c>
      <c r="C5" s="25"/>
      <c r="D5" s="28"/>
      <c r="E5" s="28"/>
      <c r="F5" s="28"/>
      <c r="G5" s="234">
        <v>16</v>
      </c>
      <c r="H5" s="234">
        <v>2580</v>
      </c>
      <c r="IJ5" s="18"/>
    </row>
    <row r="6" spans="1:244" ht="12.75" customHeight="1">
      <c r="A6" s="26">
        <v>250000</v>
      </c>
      <c r="B6" s="27" t="s">
        <v>42</v>
      </c>
      <c r="C6" s="25"/>
      <c r="F6" s="25"/>
      <c r="G6" s="246" t="s">
        <v>44</v>
      </c>
      <c r="H6" s="246">
        <v>4110</v>
      </c>
      <c r="IJ6" s="18"/>
    </row>
    <row r="7" spans="1:244" ht="12.75" customHeight="1">
      <c r="A7" s="29"/>
      <c r="C7" s="25"/>
      <c r="F7" s="25"/>
      <c r="G7" s="246" t="s">
        <v>45</v>
      </c>
      <c r="H7" s="246">
        <v>6530</v>
      </c>
      <c r="IJ7" s="18"/>
    </row>
    <row r="8" spans="1:244" ht="12.75" customHeight="1">
      <c r="A8" s="25"/>
      <c r="C8" s="25"/>
      <c r="F8" s="25"/>
      <c r="G8" s="246" t="s">
        <v>46</v>
      </c>
      <c r="H8" s="246">
        <v>10380</v>
      </c>
      <c r="IJ8" s="18"/>
    </row>
    <row r="9" spans="1:244" ht="12.75" customHeight="1">
      <c r="A9" s="30">
        <f>(A10/A3)</f>
        <v>4.1844375000000003E-2</v>
      </c>
      <c r="B9" s="31" t="s">
        <v>64</v>
      </c>
      <c r="C9" s="31"/>
      <c r="D9" s="31"/>
      <c r="E9" s="32"/>
      <c r="F9" s="25"/>
      <c r="G9" s="246" t="s">
        <v>47</v>
      </c>
      <c r="H9" s="246">
        <v>16510</v>
      </c>
      <c r="IJ9" s="18"/>
    </row>
    <row r="10" spans="1:244" ht="12.75" customHeight="1">
      <c r="A10" s="33">
        <f>(((A4*A5)*1.73)*12.9)/A6</f>
        <v>20.0853</v>
      </c>
      <c r="B10" s="32" t="s">
        <v>65</v>
      </c>
      <c r="C10" s="34"/>
      <c r="D10" s="34"/>
      <c r="E10" s="34"/>
      <c r="F10" s="25"/>
      <c r="G10" s="246" t="s">
        <v>48</v>
      </c>
      <c r="H10" s="246">
        <v>26240</v>
      </c>
      <c r="IJ10" s="18"/>
    </row>
    <row r="11" spans="1:244" ht="12.75" customHeight="1">
      <c r="A11" s="33">
        <f>A3-A10</f>
        <v>459.91469999999998</v>
      </c>
      <c r="B11" s="32" t="s">
        <v>66</v>
      </c>
      <c r="C11" s="34"/>
      <c r="D11" s="34"/>
      <c r="E11" s="34"/>
      <c r="F11" s="25"/>
      <c r="G11" s="246" t="s">
        <v>49</v>
      </c>
      <c r="H11" s="246">
        <v>41740</v>
      </c>
      <c r="IJ11" s="18"/>
    </row>
    <row r="12" spans="1:244" ht="12.75" customHeight="1">
      <c r="A12" s="25"/>
      <c r="C12" s="25"/>
      <c r="F12" s="25"/>
      <c r="G12" s="246" t="s">
        <v>50</v>
      </c>
      <c r="H12" s="246">
        <v>52620</v>
      </c>
      <c r="IJ12" s="18"/>
    </row>
    <row r="13" spans="1:244" ht="12.75" customHeight="1">
      <c r="A13" s="35">
        <f>(A14/A3)</f>
        <v>6.8767500000000009E-2</v>
      </c>
      <c r="B13" s="36" t="s">
        <v>67</v>
      </c>
      <c r="C13" s="36"/>
      <c r="D13" s="36"/>
      <c r="E13" s="37"/>
      <c r="F13" s="25"/>
      <c r="G13" s="246" t="s">
        <v>51</v>
      </c>
      <c r="H13" s="246">
        <v>66360</v>
      </c>
      <c r="IJ13" s="18"/>
    </row>
    <row r="14" spans="1:244" ht="12.75" customHeight="1">
      <c r="A14" s="38">
        <f>(((A4*A5)*1.73)*21.2)/A6</f>
        <v>33.008400000000002</v>
      </c>
      <c r="B14" s="37" t="s">
        <v>68</v>
      </c>
      <c r="C14" s="39"/>
      <c r="D14" s="39"/>
      <c r="E14" s="39"/>
      <c r="F14" s="25"/>
      <c r="G14" s="246" t="s">
        <v>52</v>
      </c>
      <c r="H14" s="246">
        <v>83690</v>
      </c>
      <c r="IJ14" s="18"/>
    </row>
    <row r="15" spans="1:244" ht="12.75" customHeight="1">
      <c r="A15" s="38">
        <f>A3-A14</f>
        <v>446.99160000000001</v>
      </c>
      <c r="B15" s="37" t="s">
        <v>66</v>
      </c>
      <c r="C15" s="39"/>
      <c r="D15" s="39"/>
      <c r="E15" s="39"/>
      <c r="F15" s="25"/>
      <c r="G15" s="246" t="s">
        <v>18</v>
      </c>
      <c r="H15" s="246">
        <v>105600</v>
      </c>
      <c r="IJ15" s="18"/>
    </row>
    <row r="16" spans="1:244" ht="12.75" customHeight="1">
      <c r="A16" s="25"/>
      <c r="C16" s="25"/>
      <c r="F16" s="25"/>
      <c r="G16" s="246" t="s">
        <v>20</v>
      </c>
      <c r="H16" s="246">
        <v>133100</v>
      </c>
      <c r="IJ16" s="18"/>
    </row>
    <row r="17" spans="1:244" ht="12.75" customHeight="1">
      <c r="A17" s="30">
        <f>(A18/A3)</f>
        <v>4.8374999999999994E-2</v>
      </c>
      <c r="B17" s="31" t="s">
        <v>69</v>
      </c>
      <c r="C17" s="31"/>
      <c r="D17" s="31"/>
      <c r="E17" s="32"/>
      <c r="F17" s="25"/>
      <c r="G17" s="246" t="s">
        <v>22</v>
      </c>
      <c r="H17" s="246">
        <v>167800</v>
      </c>
      <c r="IJ17" s="18"/>
    </row>
    <row r="18" spans="1:244" ht="12.75" customHeight="1">
      <c r="A18" s="33">
        <f>(((A4*A5)*2)*12.9)/A6</f>
        <v>23.22</v>
      </c>
      <c r="B18" s="32" t="s">
        <v>70</v>
      </c>
      <c r="C18" s="32"/>
      <c r="D18" s="32"/>
      <c r="E18" s="32"/>
      <c r="F18" s="25"/>
      <c r="G18" s="246" t="s">
        <v>23</v>
      </c>
      <c r="H18" s="246">
        <v>211600</v>
      </c>
      <c r="IJ18" s="18"/>
    </row>
    <row r="19" spans="1:244" ht="12.75" customHeight="1">
      <c r="A19" s="33">
        <f>A3-A18</f>
        <v>456.78</v>
      </c>
      <c r="B19" s="32" t="s">
        <v>66</v>
      </c>
      <c r="C19" s="32"/>
      <c r="D19" s="32"/>
      <c r="E19" s="32"/>
      <c r="F19" s="25"/>
      <c r="G19" s="246" t="s">
        <v>53</v>
      </c>
      <c r="H19" s="246">
        <v>250000</v>
      </c>
      <c r="IJ19" s="18"/>
    </row>
    <row r="20" spans="1:244" ht="12.75" customHeight="1">
      <c r="A20" s="25"/>
      <c r="C20" s="25"/>
      <c r="F20" s="25"/>
      <c r="G20" s="247"/>
      <c r="H20" s="247"/>
      <c r="IJ20" s="18"/>
    </row>
    <row r="21" spans="1:244" ht="12.75" customHeight="1">
      <c r="A21" s="35">
        <f>(A22/A3)</f>
        <v>7.9499999999999987E-2</v>
      </c>
      <c r="B21" s="36" t="s">
        <v>71</v>
      </c>
      <c r="C21" s="36"/>
      <c r="D21" s="36"/>
      <c r="E21" s="37"/>
      <c r="F21" s="25"/>
      <c r="G21" s="247"/>
      <c r="H21" s="247"/>
      <c r="IJ21" s="18"/>
    </row>
    <row r="22" spans="1:244" ht="12.75" customHeight="1">
      <c r="A22" s="38">
        <f>(((A4*A5)*2)*21.2)/A6</f>
        <v>38.159999999999997</v>
      </c>
      <c r="B22" s="37" t="s">
        <v>72</v>
      </c>
      <c r="C22" s="37"/>
      <c r="D22" s="37"/>
      <c r="E22" s="37"/>
      <c r="F22" s="25"/>
      <c r="G22" s="247"/>
      <c r="H22" s="247"/>
      <c r="IJ22" s="18"/>
    </row>
    <row r="23" spans="1:244" ht="12.75" customHeight="1">
      <c r="A23" s="38">
        <f>A3-A22</f>
        <v>441.84000000000003</v>
      </c>
      <c r="B23" s="37" t="s">
        <v>66</v>
      </c>
      <c r="C23" s="37"/>
      <c r="D23" s="37"/>
      <c r="E23" s="37"/>
      <c r="F23" s="25"/>
      <c r="G23" s="247"/>
      <c r="H23" s="247"/>
      <c r="IJ23" s="18"/>
    </row>
    <row r="24" spans="1:244" ht="12.75" customHeight="1">
      <c r="A24" s="25"/>
      <c r="C24" s="25"/>
      <c r="F24" s="25"/>
      <c r="G24" s="247"/>
      <c r="H24" s="247"/>
      <c r="IJ24" s="18"/>
    </row>
    <row r="25" spans="1:244" ht="12.75" customHeight="1">
      <c r="A25" s="25"/>
      <c r="C25" s="25"/>
      <c r="F25" s="25"/>
      <c r="G25" s="247"/>
      <c r="H25" s="247"/>
      <c r="IJ25" s="18"/>
    </row>
    <row r="26" spans="1:244" ht="12.75" customHeight="1">
      <c r="A26" s="40" t="s">
        <v>706</v>
      </c>
      <c r="C26" s="25"/>
      <c r="F26" s="25"/>
      <c r="G26" s="247"/>
      <c r="H26" s="247"/>
      <c r="IJ26" s="18"/>
    </row>
    <row r="27" spans="1:244" ht="12.75" customHeight="1">
      <c r="A27" s="41" t="s">
        <v>36</v>
      </c>
      <c r="C27" s="25"/>
      <c r="F27" s="25"/>
      <c r="G27" s="248"/>
      <c r="H27" s="248"/>
      <c r="IJ27" s="18"/>
    </row>
    <row r="28" spans="1:244" ht="12.75" customHeight="1">
      <c r="A28" s="41" t="s">
        <v>37</v>
      </c>
      <c r="C28" s="25"/>
      <c r="F28" s="25"/>
      <c r="IJ28" s="18"/>
    </row>
    <row r="29" spans="1:244" ht="12.75" customHeight="1">
      <c r="A29" s="41" t="s">
        <v>38</v>
      </c>
      <c r="C29" s="25"/>
      <c r="F29" s="25"/>
      <c r="IJ29" s="18"/>
    </row>
    <row r="30" spans="1:244" ht="12.75" customHeight="1">
      <c r="A30" s="365"/>
      <c r="C30" s="365"/>
      <c r="F30" s="25"/>
      <c r="IJ30" s="18"/>
    </row>
    <row r="31" spans="1:244" ht="12.75" customHeight="1">
      <c r="A31" s="379" t="s">
        <v>666</v>
      </c>
      <c r="B31" s="365"/>
      <c r="D31" s="365"/>
    </row>
    <row r="32" spans="1:244" ht="12.75" customHeight="1">
      <c r="A32" s="380" t="s">
        <v>762</v>
      </c>
      <c r="B32" s="365"/>
      <c r="D32" s="365"/>
    </row>
    <row r="33" spans="1:1" ht="12.75" customHeight="1">
      <c r="A33" s="136" t="s">
        <v>763</v>
      </c>
    </row>
    <row r="34" spans="1:1" ht="12.75" customHeight="1">
      <c r="A34" s="379" t="s">
        <v>766</v>
      </c>
    </row>
    <row r="35" spans="1:1" ht="12.75" customHeight="1">
      <c r="A35" s="379" t="s">
        <v>3</v>
      </c>
    </row>
    <row r="36" spans="1:1" ht="12.75" customHeight="1"/>
    <row r="37" spans="1:1" ht="12.75" customHeight="1"/>
    <row r="38" spans="1:1" ht="12.75" customHeight="1"/>
    <row r="39" spans="1:1" ht="12.75" customHeight="1"/>
    <row r="40" spans="1:1" ht="12.75" customHeight="1"/>
    <row r="41" spans="1:1" ht="12.75" customHeight="1"/>
    <row r="42" spans="1:1" ht="12.75" customHeight="1"/>
    <row r="43" spans="1:1" ht="12.75" customHeight="1"/>
    <row r="44" spans="1:1" ht="12.75" customHeight="1"/>
    <row r="45" spans="1:1" ht="12.75" customHeight="1"/>
    <row r="46" spans="1:1" ht="12.75" customHeight="1"/>
    <row r="47" spans="1:1" ht="12.75" customHeight="1"/>
    <row r="48" spans="1:1" ht="12.75" customHeight="1"/>
    <row r="49" ht="12.75" customHeight="1"/>
    <row r="50" ht="12.75" customHeight="1"/>
    <row r="51" ht="12.75" customHeight="1"/>
    <row r="52" ht="12.75" customHeight="1"/>
    <row r="53" ht="12.75" customHeight="1"/>
    <row r="54" ht="12.75" customHeight="1"/>
    <row r="55" ht="12.75" customHeight="1"/>
  </sheetData>
  <sheetProtection algorithmName="SHA-512" hashValue="YF0l/5MHc0YUof1j/8Qn4aAyABuGZZcUpsyUjk18wGvqKXvp91qakkEBwCvx1In+I1gwiFwLNJOFZHg2geCFAw==" saltValue="I1ohPrOTtnja/reLfh1d3w==" spinCount="100000" sheet="1" objects="1" scenarios="1"/>
  <pageMargins left="0.74791666666666667" right="0.74791666666666667" top="0.98402777777777772" bottom="0.98402777777777772" header="0.51180555555555551" footer="0.51180555555555551"/>
  <pageSetup firstPageNumber="0" orientation="landscape" horizontalDpi="300" verticalDpi="3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7030A0"/>
    <pageSetUpPr fitToPage="1"/>
  </sheetPr>
  <dimension ref="A1:T25"/>
  <sheetViews>
    <sheetView workbookViewId="0">
      <selection activeCell="B5" sqref="B5"/>
    </sheetView>
  </sheetViews>
  <sheetFormatPr defaultColWidth="17.28515625" defaultRowHeight="15.75" customHeight="1"/>
  <cols>
    <col min="1" max="1" width="17.140625" style="17" customWidth="1"/>
    <col min="2" max="2" width="5.42578125" style="17" customWidth="1"/>
    <col min="3" max="19" width="6.28515625" style="17" customWidth="1"/>
    <col min="20" max="20" width="6.140625" style="17" customWidth="1"/>
    <col min="21" max="16384" width="17.28515625" style="17"/>
  </cols>
  <sheetData>
    <row r="1" spans="1:20" ht="12.75" customHeight="1">
      <c r="A1" s="46" t="s">
        <v>73</v>
      </c>
      <c r="B1" s="25"/>
      <c r="C1" s="25"/>
      <c r="D1" s="25"/>
      <c r="E1" s="25"/>
      <c r="F1" s="25"/>
      <c r="G1" s="25"/>
      <c r="H1" s="25"/>
      <c r="I1" s="25"/>
      <c r="J1" s="25"/>
      <c r="K1" s="25"/>
      <c r="L1" s="25"/>
      <c r="M1" s="25"/>
      <c r="N1" s="25"/>
      <c r="O1" s="25"/>
      <c r="P1" s="25"/>
      <c r="Q1" s="25"/>
      <c r="R1" s="25"/>
      <c r="S1" s="25"/>
    </row>
    <row r="2" spans="1:20" ht="12.75" customHeight="1">
      <c r="B2" s="24"/>
      <c r="C2" s="25"/>
      <c r="D2" s="25"/>
      <c r="E2" s="25"/>
      <c r="F2" s="25"/>
      <c r="G2" s="25"/>
      <c r="H2" s="25"/>
      <c r="I2" s="25"/>
      <c r="J2" s="25"/>
      <c r="K2" s="25"/>
      <c r="L2" s="25"/>
      <c r="M2" s="25"/>
      <c r="N2" s="25"/>
      <c r="O2" s="25"/>
      <c r="P2" s="25"/>
      <c r="Q2" s="25"/>
      <c r="R2" s="25"/>
      <c r="S2" s="25"/>
    </row>
    <row r="3" spans="1:20" ht="12.75" customHeight="1">
      <c r="A3" s="271" t="s">
        <v>29</v>
      </c>
      <c r="B3" s="42">
        <v>480</v>
      </c>
      <c r="C3" s="27" t="s">
        <v>30</v>
      </c>
      <c r="D3" s="25"/>
      <c r="E3" s="25"/>
      <c r="F3" s="25"/>
      <c r="G3" s="25"/>
      <c r="H3" s="25"/>
      <c r="I3" s="25"/>
      <c r="J3" s="25"/>
      <c r="K3" s="25"/>
      <c r="L3" s="25"/>
      <c r="M3" s="25"/>
      <c r="N3" s="25"/>
      <c r="O3" s="25"/>
      <c r="P3" s="25"/>
      <c r="Q3" s="25"/>
      <c r="R3" s="25"/>
      <c r="S3" s="25"/>
    </row>
    <row r="4" spans="1:20" ht="12.75" customHeight="1">
      <c r="A4" s="271" t="s">
        <v>74</v>
      </c>
      <c r="B4" s="43">
        <v>100</v>
      </c>
      <c r="C4" s="27" t="s">
        <v>75</v>
      </c>
      <c r="D4" s="25"/>
      <c r="E4" s="25"/>
      <c r="F4" s="25"/>
      <c r="G4" s="25"/>
      <c r="H4" s="25"/>
      <c r="I4" s="25"/>
      <c r="J4" s="25"/>
      <c r="K4" s="25"/>
      <c r="L4" s="25"/>
      <c r="M4" s="25"/>
      <c r="N4" s="25"/>
      <c r="O4" s="25"/>
      <c r="P4" s="25"/>
      <c r="Q4" s="25"/>
      <c r="R4" s="25"/>
      <c r="S4" s="25"/>
    </row>
    <row r="5" spans="1:20" ht="12.75" customHeight="1">
      <c r="B5" s="29"/>
      <c r="C5" s="24"/>
      <c r="D5" s="25"/>
      <c r="E5" s="25"/>
      <c r="F5" s="25"/>
      <c r="G5" s="25"/>
      <c r="H5" s="25"/>
      <c r="I5" s="25"/>
      <c r="J5" s="25"/>
      <c r="K5" s="25"/>
      <c r="L5" s="25"/>
      <c r="M5" s="25"/>
      <c r="N5" s="25"/>
      <c r="O5" s="25"/>
      <c r="P5" s="25"/>
      <c r="Q5" s="25"/>
      <c r="R5" s="25"/>
      <c r="S5" s="25"/>
    </row>
    <row r="6" spans="1:20" ht="12.75" customHeight="1">
      <c r="B6" s="272" t="s">
        <v>76</v>
      </c>
      <c r="C6" s="44">
        <v>90</v>
      </c>
      <c r="D6" s="666">
        <v>250</v>
      </c>
      <c r="E6" s="667">
        <v>500</v>
      </c>
      <c r="F6" s="667">
        <v>750</v>
      </c>
      <c r="G6" s="667">
        <v>1000</v>
      </c>
      <c r="H6" s="667">
        <v>1250</v>
      </c>
      <c r="I6" s="667">
        <v>1500</v>
      </c>
      <c r="J6" s="667">
        <v>1750</v>
      </c>
      <c r="K6" s="667">
        <v>2000</v>
      </c>
      <c r="L6" s="667">
        <v>2250</v>
      </c>
      <c r="M6" s="667">
        <v>2500</v>
      </c>
      <c r="N6" s="667">
        <v>3000</v>
      </c>
      <c r="O6" s="667">
        <v>3500</v>
      </c>
      <c r="P6" s="667">
        <v>4000</v>
      </c>
      <c r="Q6" s="667">
        <v>4500</v>
      </c>
      <c r="R6" s="667">
        <v>5000</v>
      </c>
      <c r="S6" s="667">
        <v>5280</v>
      </c>
      <c r="T6" s="668" t="s">
        <v>43</v>
      </c>
    </row>
    <row r="7" spans="1:20" ht="12.75" customHeight="1">
      <c r="A7" s="669" t="s">
        <v>77</v>
      </c>
      <c r="B7" s="670">
        <v>0.24</v>
      </c>
      <c r="C7" s="671">
        <f t="shared" ref="C7:L19" si="0">((((1.732*C$6)*$B7)*$B$4)/1000)/$B$3</f>
        <v>7.7939999999999997E-3</v>
      </c>
      <c r="D7" s="671">
        <f t="shared" si="0"/>
        <v>2.1649999999999999E-2</v>
      </c>
      <c r="E7" s="671">
        <f t="shared" si="0"/>
        <v>4.3299999999999998E-2</v>
      </c>
      <c r="F7" s="671">
        <f t="shared" si="0"/>
        <v>6.4949999999999994E-2</v>
      </c>
      <c r="G7" s="671">
        <f t="shared" si="0"/>
        <v>8.6599999999999996E-2</v>
      </c>
      <c r="H7" s="671">
        <f t="shared" si="0"/>
        <v>0.10825</v>
      </c>
      <c r="I7" s="671">
        <f t="shared" si="0"/>
        <v>0.12989999999999999</v>
      </c>
      <c r="J7" s="671">
        <f t="shared" si="0"/>
        <v>0.15154999999999999</v>
      </c>
      <c r="K7" s="671">
        <f t="shared" si="0"/>
        <v>0.17319999999999999</v>
      </c>
      <c r="L7" s="671">
        <f t="shared" si="0"/>
        <v>0.19485000000000002</v>
      </c>
      <c r="M7" s="671">
        <f t="shared" ref="M7:S19" si="1">((((1.732*M$6)*$B7)*$B$4)/1000)/$B$3</f>
        <v>0.2165</v>
      </c>
      <c r="N7" s="671">
        <f t="shared" si="1"/>
        <v>0.25979999999999998</v>
      </c>
      <c r="O7" s="671">
        <f t="shared" si="1"/>
        <v>0.30309999999999998</v>
      </c>
      <c r="P7" s="671">
        <f t="shared" si="1"/>
        <v>0.34639999999999999</v>
      </c>
      <c r="Q7" s="671">
        <f t="shared" si="1"/>
        <v>0.38970000000000005</v>
      </c>
      <c r="R7" s="671">
        <f t="shared" si="1"/>
        <v>0.433</v>
      </c>
      <c r="S7" s="671">
        <f t="shared" si="1"/>
        <v>0.45724799999999993</v>
      </c>
    </row>
    <row r="8" spans="1:20" ht="12.75" customHeight="1">
      <c r="A8" s="669" t="s">
        <v>18</v>
      </c>
      <c r="B8" s="670">
        <v>0.19</v>
      </c>
      <c r="C8" s="671">
        <f t="shared" si="0"/>
        <v>6.1702500000000004E-3</v>
      </c>
      <c r="D8" s="671">
        <f t="shared" si="0"/>
        <v>1.7139583333333333E-2</v>
      </c>
      <c r="E8" s="671">
        <f t="shared" si="0"/>
        <v>3.4279166666666666E-2</v>
      </c>
      <c r="F8" s="671">
        <f t="shared" si="0"/>
        <v>5.1418749999999999E-2</v>
      </c>
      <c r="G8" s="671">
        <f t="shared" si="0"/>
        <v>6.8558333333333332E-2</v>
      </c>
      <c r="H8" s="671">
        <f t="shared" si="0"/>
        <v>8.5697916666666665E-2</v>
      </c>
      <c r="I8" s="671">
        <f t="shared" si="0"/>
        <v>0.1028375</v>
      </c>
      <c r="J8" s="671">
        <f t="shared" si="0"/>
        <v>0.11997708333333333</v>
      </c>
      <c r="K8" s="671">
        <f t="shared" si="0"/>
        <v>0.13711666666666666</v>
      </c>
      <c r="L8" s="671">
        <f t="shared" si="0"/>
        <v>0.15425625000000001</v>
      </c>
      <c r="M8" s="671">
        <f t="shared" si="1"/>
        <v>0.17139583333333333</v>
      </c>
      <c r="N8" s="671">
        <f t="shared" si="1"/>
        <v>0.205675</v>
      </c>
      <c r="O8" s="671">
        <f t="shared" si="1"/>
        <v>0.23995416666666666</v>
      </c>
      <c r="P8" s="671">
        <f t="shared" si="1"/>
        <v>0.27423333333333333</v>
      </c>
      <c r="Q8" s="671">
        <f t="shared" si="1"/>
        <v>0.30851250000000002</v>
      </c>
      <c r="R8" s="671">
        <f t="shared" si="1"/>
        <v>0.34279166666666666</v>
      </c>
      <c r="S8" s="671">
        <f t="shared" si="1"/>
        <v>0.36198799999999998</v>
      </c>
    </row>
    <row r="9" spans="1:20" ht="12.75" customHeight="1">
      <c r="A9" s="669" t="s">
        <v>20</v>
      </c>
      <c r="B9" s="670">
        <v>0.16</v>
      </c>
      <c r="C9" s="671">
        <f t="shared" si="0"/>
        <v>5.1960000000000001E-3</v>
      </c>
      <c r="D9" s="671">
        <f t="shared" si="0"/>
        <v>1.4433333333333333E-2</v>
      </c>
      <c r="E9" s="671">
        <f t="shared" si="0"/>
        <v>2.8866666666666665E-2</v>
      </c>
      <c r="F9" s="671">
        <f t="shared" si="0"/>
        <v>4.3299999999999998E-2</v>
      </c>
      <c r="G9" s="671">
        <f t="shared" si="0"/>
        <v>5.7733333333333331E-2</v>
      </c>
      <c r="H9" s="671">
        <f t="shared" si="0"/>
        <v>7.2166666666666671E-2</v>
      </c>
      <c r="I9" s="671">
        <f t="shared" si="0"/>
        <v>8.6599999999999996E-2</v>
      </c>
      <c r="J9" s="671">
        <f t="shared" si="0"/>
        <v>0.10103333333333334</v>
      </c>
      <c r="K9" s="671">
        <f t="shared" si="0"/>
        <v>0.11546666666666666</v>
      </c>
      <c r="L9" s="671">
        <f t="shared" si="0"/>
        <v>0.12989999999999999</v>
      </c>
      <c r="M9" s="671">
        <f t="shared" si="1"/>
        <v>0.14433333333333334</v>
      </c>
      <c r="N9" s="671">
        <f t="shared" si="1"/>
        <v>0.17319999999999999</v>
      </c>
      <c r="O9" s="671">
        <f t="shared" si="1"/>
        <v>0.20206666666666667</v>
      </c>
      <c r="P9" s="671">
        <f t="shared" si="1"/>
        <v>0.23093333333333332</v>
      </c>
      <c r="Q9" s="671">
        <f t="shared" si="1"/>
        <v>0.25979999999999998</v>
      </c>
      <c r="R9" s="671">
        <f t="shared" si="1"/>
        <v>0.28866666666666668</v>
      </c>
      <c r="S9" s="671">
        <f t="shared" si="1"/>
        <v>0.30483199999999999</v>
      </c>
    </row>
    <row r="10" spans="1:20" ht="12.75" customHeight="1">
      <c r="A10" s="669" t="s">
        <v>22</v>
      </c>
      <c r="B10" s="670">
        <v>0.13</v>
      </c>
      <c r="C10" s="671">
        <f t="shared" si="0"/>
        <v>4.2217499999999998E-3</v>
      </c>
      <c r="D10" s="671">
        <f t="shared" si="0"/>
        <v>1.1727083333333332E-2</v>
      </c>
      <c r="E10" s="671">
        <f t="shared" si="0"/>
        <v>2.3454166666666665E-2</v>
      </c>
      <c r="F10" s="671">
        <f t="shared" si="0"/>
        <v>3.5181250000000004E-2</v>
      </c>
      <c r="G10" s="671">
        <f t="shared" si="0"/>
        <v>4.690833333333333E-2</v>
      </c>
      <c r="H10" s="671">
        <f t="shared" si="0"/>
        <v>5.8635416666666669E-2</v>
      </c>
      <c r="I10" s="671">
        <f t="shared" si="0"/>
        <v>7.0362500000000008E-2</v>
      </c>
      <c r="J10" s="671">
        <f t="shared" si="0"/>
        <v>8.2089583333333327E-2</v>
      </c>
      <c r="K10" s="671">
        <f t="shared" si="0"/>
        <v>9.3816666666666659E-2</v>
      </c>
      <c r="L10" s="671">
        <f t="shared" si="0"/>
        <v>0.10554375000000001</v>
      </c>
      <c r="M10" s="671">
        <f t="shared" si="1"/>
        <v>0.11727083333333334</v>
      </c>
      <c r="N10" s="671">
        <f t="shared" si="1"/>
        <v>0.14072500000000002</v>
      </c>
      <c r="O10" s="671">
        <f t="shared" si="1"/>
        <v>0.16417916666666665</v>
      </c>
      <c r="P10" s="671">
        <f t="shared" si="1"/>
        <v>0.18763333333333332</v>
      </c>
      <c r="Q10" s="671">
        <f t="shared" si="1"/>
        <v>0.21108750000000001</v>
      </c>
      <c r="R10" s="671">
        <f t="shared" si="1"/>
        <v>0.23454166666666668</v>
      </c>
      <c r="S10" s="671">
        <f t="shared" si="1"/>
        <v>0.24767599999999995</v>
      </c>
    </row>
    <row r="11" spans="1:20" ht="12.75" customHeight="1">
      <c r="A11" s="669" t="s">
        <v>23</v>
      </c>
      <c r="B11" s="670">
        <v>0.11</v>
      </c>
      <c r="C11" s="671">
        <f t="shared" si="0"/>
        <v>3.5722499999999995E-3</v>
      </c>
      <c r="D11" s="671">
        <f t="shared" si="0"/>
        <v>9.9229166666666667E-3</v>
      </c>
      <c r="E11" s="671">
        <f t="shared" si="0"/>
        <v>1.9845833333333333E-2</v>
      </c>
      <c r="F11" s="671">
        <f t="shared" si="0"/>
        <v>2.9768750000000004E-2</v>
      </c>
      <c r="G11" s="671">
        <f t="shared" si="0"/>
        <v>3.9691666666666667E-2</v>
      </c>
      <c r="H11" s="671">
        <f t="shared" si="0"/>
        <v>4.9614583333333337E-2</v>
      </c>
      <c r="I11" s="671">
        <f t="shared" si="0"/>
        <v>5.9537500000000007E-2</v>
      </c>
      <c r="J11" s="671">
        <f t="shared" si="0"/>
        <v>6.9460416666666663E-2</v>
      </c>
      <c r="K11" s="671">
        <f t="shared" si="0"/>
        <v>7.9383333333333334E-2</v>
      </c>
      <c r="L11" s="671">
        <f t="shared" si="0"/>
        <v>8.930624999999999E-2</v>
      </c>
      <c r="M11" s="671">
        <f t="shared" si="1"/>
        <v>9.9229166666666674E-2</v>
      </c>
      <c r="N11" s="671">
        <f t="shared" si="1"/>
        <v>0.11907500000000001</v>
      </c>
      <c r="O11" s="671">
        <f t="shared" si="1"/>
        <v>0.13892083333333333</v>
      </c>
      <c r="P11" s="671">
        <f t="shared" si="1"/>
        <v>0.15876666666666667</v>
      </c>
      <c r="Q11" s="671">
        <f t="shared" si="1"/>
        <v>0.17861249999999998</v>
      </c>
      <c r="R11" s="671">
        <f t="shared" si="1"/>
        <v>0.19845833333333335</v>
      </c>
      <c r="S11" s="671">
        <f t="shared" si="1"/>
        <v>0.20957199999999998</v>
      </c>
    </row>
    <row r="12" spans="1:20" ht="12.75" customHeight="1">
      <c r="A12" s="669">
        <v>250</v>
      </c>
      <c r="B12" s="670">
        <v>9.4E-2</v>
      </c>
      <c r="C12" s="671">
        <f t="shared" si="0"/>
        <v>3.0526499999999996E-3</v>
      </c>
      <c r="D12" s="671">
        <f t="shared" si="0"/>
        <v>8.4795833333333338E-3</v>
      </c>
      <c r="E12" s="671">
        <f t="shared" si="0"/>
        <v>1.6959166666666668E-2</v>
      </c>
      <c r="F12" s="671">
        <f t="shared" si="0"/>
        <v>2.5438749999999996E-2</v>
      </c>
      <c r="G12" s="671">
        <f t="shared" si="0"/>
        <v>3.3918333333333335E-2</v>
      </c>
      <c r="H12" s="671">
        <f t="shared" si="0"/>
        <v>4.2397916666666667E-2</v>
      </c>
      <c r="I12" s="671">
        <f t="shared" si="0"/>
        <v>5.0877499999999992E-2</v>
      </c>
      <c r="J12" s="671">
        <f t="shared" si="0"/>
        <v>5.9357083333333331E-2</v>
      </c>
      <c r="K12" s="671">
        <f t="shared" si="0"/>
        <v>6.783666666666667E-2</v>
      </c>
      <c r="L12" s="671">
        <f t="shared" si="0"/>
        <v>7.6316250000000002E-2</v>
      </c>
      <c r="M12" s="671">
        <f t="shared" si="1"/>
        <v>8.4795833333333334E-2</v>
      </c>
      <c r="N12" s="671">
        <f t="shared" si="1"/>
        <v>0.10175499999999998</v>
      </c>
      <c r="O12" s="671">
        <f t="shared" si="1"/>
        <v>0.11871416666666666</v>
      </c>
      <c r="P12" s="671">
        <f t="shared" si="1"/>
        <v>0.13567333333333334</v>
      </c>
      <c r="Q12" s="671">
        <f t="shared" si="1"/>
        <v>0.1526325</v>
      </c>
      <c r="R12" s="671">
        <f t="shared" si="1"/>
        <v>0.16959166666666667</v>
      </c>
      <c r="S12" s="671">
        <f t="shared" si="1"/>
        <v>0.17908879999999999</v>
      </c>
    </row>
    <row r="13" spans="1:20" ht="12.75" customHeight="1">
      <c r="A13" s="669">
        <v>300</v>
      </c>
      <c r="B13" s="670">
        <v>8.2000000000000003E-2</v>
      </c>
      <c r="C13" s="671">
        <f t="shared" si="0"/>
        <v>2.6629499999999994E-3</v>
      </c>
      <c r="D13" s="671">
        <f t="shared" si="0"/>
        <v>7.3970833333333328E-3</v>
      </c>
      <c r="E13" s="671">
        <f t="shared" si="0"/>
        <v>1.4794166666666666E-2</v>
      </c>
      <c r="F13" s="671">
        <f t="shared" si="0"/>
        <v>2.2191249999999999E-2</v>
      </c>
      <c r="G13" s="671">
        <f t="shared" si="0"/>
        <v>2.9588333333333331E-2</v>
      </c>
      <c r="H13" s="671">
        <f t="shared" si="0"/>
        <v>3.6985416666666666E-2</v>
      </c>
      <c r="I13" s="671">
        <f t="shared" si="0"/>
        <v>4.4382499999999998E-2</v>
      </c>
      <c r="J13" s="671">
        <f t="shared" si="0"/>
        <v>5.1779583333333337E-2</v>
      </c>
      <c r="K13" s="671">
        <f t="shared" si="0"/>
        <v>5.9176666666666662E-2</v>
      </c>
      <c r="L13" s="671">
        <f t="shared" si="0"/>
        <v>6.6573750000000001E-2</v>
      </c>
      <c r="M13" s="671">
        <f t="shared" si="1"/>
        <v>7.3970833333333333E-2</v>
      </c>
      <c r="N13" s="671">
        <f t="shared" si="1"/>
        <v>8.8764999999999997E-2</v>
      </c>
      <c r="O13" s="671">
        <f t="shared" si="1"/>
        <v>0.10355916666666667</v>
      </c>
      <c r="P13" s="671">
        <f t="shared" si="1"/>
        <v>0.11835333333333332</v>
      </c>
      <c r="Q13" s="671">
        <f t="shared" si="1"/>
        <v>0.1331475</v>
      </c>
      <c r="R13" s="671">
        <f t="shared" si="1"/>
        <v>0.14794166666666667</v>
      </c>
      <c r="S13" s="671">
        <f t="shared" si="1"/>
        <v>0.15622639999999999</v>
      </c>
    </row>
    <row r="14" spans="1:20" ht="12.75" customHeight="1">
      <c r="A14" s="669">
        <v>350</v>
      </c>
      <c r="B14" s="670">
        <v>7.2999999999999995E-2</v>
      </c>
      <c r="C14" s="671">
        <f t="shared" si="0"/>
        <v>2.370675E-3</v>
      </c>
      <c r="D14" s="671">
        <f t="shared" si="0"/>
        <v>6.5852083333333327E-3</v>
      </c>
      <c r="E14" s="671">
        <f t="shared" si="0"/>
        <v>1.3170416666666665E-2</v>
      </c>
      <c r="F14" s="671">
        <f t="shared" si="0"/>
        <v>1.9755625000000002E-2</v>
      </c>
      <c r="G14" s="671">
        <f t="shared" si="0"/>
        <v>2.6340833333333331E-2</v>
      </c>
      <c r="H14" s="671">
        <f t="shared" si="0"/>
        <v>3.2926041666666662E-2</v>
      </c>
      <c r="I14" s="671">
        <f t="shared" si="0"/>
        <v>3.9511250000000005E-2</v>
      </c>
      <c r="J14" s="671">
        <f t="shared" si="0"/>
        <v>4.6096458333333333E-2</v>
      </c>
      <c r="K14" s="671">
        <f t="shared" si="0"/>
        <v>5.2681666666666661E-2</v>
      </c>
      <c r="L14" s="671">
        <f t="shared" si="0"/>
        <v>5.9266875000000004E-2</v>
      </c>
      <c r="M14" s="671">
        <f t="shared" si="1"/>
        <v>6.5852083333333325E-2</v>
      </c>
      <c r="N14" s="671">
        <f t="shared" si="1"/>
        <v>7.9022500000000009E-2</v>
      </c>
      <c r="O14" s="671">
        <f t="shared" si="1"/>
        <v>9.2192916666666666E-2</v>
      </c>
      <c r="P14" s="671">
        <f t="shared" si="1"/>
        <v>0.10536333333333332</v>
      </c>
      <c r="Q14" s="671">
        <f t="shared" si="1"/>
        <v>0.11853375000000001</v>
      </c>
      <c r="R14" s="671">
        <f t="shared" si="1"/>
        <v>0.13170416666666665</v>
      </c>
      <c r="S14" s="671">
        <f t="shared" si="1"/>
        <v>0.13907959999999997</v>
      </c>
    </row>
    <row r="15" spans="1:20" ht="12.75" customHeight="1">
      <c r="A15" s="669">
        <v>400</v>
      </c>
      <c r="B15" s="670">
        <v>6.6000000000000003E-2</v>
      </c>
      <c r="C15" s="671">
        <f t="shared" si="0"/>
        <v>2.14335E-3</v>
      </c>
      <c r="D15" s="671">
        <f t="shared" si="0"/>
        <v>5.9537499999999998E-3</v>
      </c>
      <c r="E15" s="671">
        <f t="shared" si="0"/>
        <v>1.19075E-2</v>
      </c>
      <c r="F15" s="671">
        <f t="shared" si="0"/>
        <v>1.7861250000000002E-2</v>
      </c>
      <c r="G15" s="671">
        <f t="shared" si="0"/>
        <v>2.3814999999999999E-2</v>
      </c>
      <c r="H15" s="671">
        <f t="shared" si="0"/>
        <v>2.9768750000000004E-2</v>
      </c>
      <c r="I15" s="671">
        <f t="shared" si="0"/>
        <v>3.5722500000000004E-2</v>
      </c>
      <c r="J15" s="671">
        <f t="shared" si="0"/>
        <v>4.1676250000000005E-2</v>
      </c>
      <c r="K15" s="671">
        <f t="shared" si="0"/>
        <v>4.7629999999999999E-2</v>
      </c>
      <c r="L15" s="671">
        <f t="shared" si="0"/>
        <v>5.3583750000000006E-2</v>
      </c>
      <c r="M15" s="671">
        <f t="shared" si="1"/>
        <v>5.9537500000000007E-2</v>
      </c>
      <c r="N15" s="671">
        <f t="shared" si="1"/>
        <v>7.1445000000000008E-2</v>
      </c>
      <c r="O15" s="671">
        <f t="shared" si="1"/>
        <v>8.335250000000001E-2</v>
      </c>
      <c r="P15" s="671">
        <f t="shared" si="1"/>
        <v>9.5259999999999997E-2</v>
      </c>
      <c r="Q15" s="671">
        <f t="shared" si="1"/>
        <v>0.10716750000000001</v>
      </c>
      <c r="R15" s="671">
        <f t="shared" si="1"/>
        <v>0.11907500000000001</v>
      </c>
      <c r="S15" s="671">
        <f t="shared" si="1"/>
        <v>0.1257432</v>
      </c>
    </row>
    <row r="16" spans="1:20" ht="12.75" customHeight="1">
      <c r="A16" s="669">
        <v>500</v>
      </c>
      <c r="B16" s="670">
        <v>5.7000000000000002E-2</v>
      </c>
      <c r="C16" s="671">
        <f t="shared" si="0"/>
        <v>1.8510750000000002E-3</v>
      </c>
      <c r="D16" s="671">
        <f t="shared" si="0"/>
        <v>5.1418749999999997E-3</v>
      </c>
      <c r="E16" s="671">
        <f t="shared" si="0"/>
        <v>1.0283749999999999E-2</v>
      </c>
      <c r="F16" s="671">
        <f t="shared" si="0"/>
        <v>1.5425625000000002E-2</v>
      </c>
      <c r="G16" s="671">
        <f t="shared" si="0"/>
        <v>2.0567499999999999E-2</v>
      </c>
      <c r="H16" s="671">
        <f t="shared" si="0"/>
        <v>2.5709375E-2</v>
      </c>
      <c r="I16" s="671">
        <f t="shared" si="0"/>
        <v>3.0851250000000004E-2</v>
      </c>
      <c r="J16" s="671">
        <f t="shared" si="0"/>
        <v>3.5993125000000001E-2</v>
      </c>
      <c r="K16" s="671">
        <f t="shared" si="0"/>
        <v>4.1134999999999998E-2</v>
      </c>
      <c r="L16" s="671">
        <f t="shared" si="0"/>
        <v>4.6276875000000002E-2</v>
      </c>
      <c r="M16" s="671">
        <f t="shared" si="1"/>
        <v>5.1418749999999999E-2</v>
      </c>
      <c r="N16" s="671">
        <f t="shared" si="1"/>
        <v>6.1702500000000007E-2</v>
      </c>
      <c r="O16" s="671">
        <f t="shared" si="1"/>
        <v>7.1986250000000002E-2</v>
      </c>
      <c r="P16" s="671">
        <f t="shared" si="1"/>
        <v>8.2269999999999996E-2</v>
      </c>
      <c r="Q16" s="671">
        <f t="shared" si="1"/>
        <v>9.2553750000000004E-2</v>
      </c>
      <c r="R16" s="671">
        <f t="shared" si="1"/>
        <v>0.1028375</v>
      </c>
      <c r="S16" s="671">
        <f t="shared" si="1"/>
        <v>0.1085964</v>
      </c>
    </row>
    <row r="17" spans="1:19" ht="12.75" customHeight="1">
      <c r="A17" s="669">
        <v>600</v>
      </c>
      <c r="B17" s="670">
        <v>5.1000000000000004E-2</v>
      </c>
      <c r="C17" s="671">
        <f t="shared" si="0"/>
        <v>1.6562250000000001E-3</v>
      </c>
      <c r="D17" s="671">
        <f t="shared" si="0"/>
        <v>4.6006250000000005E-3</v>
      </c>
      <c r="E17" s="671">
        <f t="shared" si="0"/>
        <v>9.2012500000000011E-3</v>
      </c>
      <c r="F17" s="671">
        <f t="shared" si="0"/>
        <v>1.3801875E-2</v>
      </c>
      <c r="G17" s="671">
        <f t="shared" si="0"/>
        <v>1.8402500000000002E-2</v>
      </c>
      <c r="H17" s="671">
        <f t="shared" si="0"/>
        <v>2.3003124999999999E-2</v>
      </c>
      <c r="I17" s="671">
        <f t="shared" si="0"/>
        <v>2.760375E-2</v>
      </c>
      <c r="J17" s="671">
        <f t="shared" si="0"/>
        <v>3.2204375E-2</v>
      </c>
      <c r="K17" s="671">
        <f t="shared" si="0"/>
        <v>3.6805000000000004E-2</v>
      </c>
      <c r="L17" s="671">
        <f t="shared" si="0"/>
        <v>4.1405625000000001E-2</v>
      </c>
      <c r="M17" s="671">
        <f t="shared" si="1"/>
        <v>4.6006249999999999E-2</v>
      </c>
      <c r="N17" s="671">
        <f t="shared" si="1"/>
        <v>5.52075E-2</v>
      </c>
      <c r="O17" s="671">
        <f t="shared" si="1"/>
        <v>6.4408750000000001E-2</v>
      </c>
      <c r="P17" s="671">
        <f t="shared" si="1"/>
        <v>7.3610000000000009E-2</v>
      </c>
      <c r="Q17" s="671">
        <f t="shared" si="1"/>
        <v>8.2811250000000003E-2</v>
      </c>
      <c r="R17" s="671">
        <f t="shared" si="1"/>
        <v>9.2012499999999997E-2</v>
      </c>
      <c r="S17" s="671">
        <f t="shared" si="1"/>
        <v>9.7165200000000007E-2</v>
      </c>
    </row>
    <row r="18" spans="1:19" ht="12.75" customHeight="1">
      <c r="A18" s="669">
        <v>750</v>
      </c>
      <c r="B18" s="670">
        <v>4.4999999999999998E-2</v>
      </c>
      <c r="C18" s="671">
        <f t="shared" si="0"/>
        <v>1.461375E-3</v>
      </c>
      <c r="D18" s="671">
        <f t="shared" si="0"/>
        <v>4.0593749999999996E-3</v>
      </c>
      <c r="E18" s="671">
        <f t="shared" si="0"/>
        <v>8.1187499999999992E-3</v>
      </c>
      <c r="F18" s="671">
        <f t="shared" si="0"/>
        <v>1.2178125000000001E-2</v>
      </c>
      <c r="G18" s="671">
        <f t="shared" si="0"/>
        <v>1.6237499999999998E-2</v>
      </c>
      <c r="H18" s="671">
        <f t="shared" si="0"/>
        <v>2.0296874999999999E-2</v>
      </c>
      <c r="I18" s="671">
        <f t="shared" si="0"/>
        <v>2.4356250000000003E-2</v>
      </c>
      <c r="J18" s="671">
        <f t="shared" si="0"/>
        <v>2.8415624999999996E-2</v>
      </c>
      <c r="K18" s="671">
        <f t="shared" si="0"/>
        <v>3.2474999999999997E-2</v>
      </c>
      <c r="L18" s="671">
        <f t="shared" si="0"/>
        <v>3.6534374999999994E-2</v>
      </c>
      <c r="M18" s="671">
        <f t="shared" si="1"/>
        <v>4.0593749999999998E-2</v>
      </c>
      <c r="N18" s="671">
        <f t="shared" si="1"/>
        <v>4.8712500000000006E-2</v>
      </c>
      <c r="O18" s="671">
        <f t="shared" si="1"/>
        <v>5.6831249999999993E-2</v>
      </c>
      <c r="P18" s="671">
        <f t="shared" si="1"/>
        <v>6.4949999999999994E-2</v>
      </c>
      <c r="Q18" s="671">
        <f t="shared" si="1"/>
        <v>7.3068749999999988E-2</v>
      </c>
      <c r="R18" s="671">
        <f t="shared" si="1"/>
        <v>8.1187499999999996E-2</v>
      </c>
      <c r="S18" s="671">
        <f t="shared" si="1"/>
        <v>8.5733999999999977E-2</v>
      </c>
    </row>
    <row r="19" spans="1:19" ht="12.75" customHeight="1">
      <c r="A19" s="669">
        <v>1000</v>
      </c>
      <c r="B19" s="670">
        <v>3.9E-2</v>
      </c>
      <c r="C19" s="671">
        <f t="shared" si="0"/>
        <v>1.2665250000000001E-3</v>
      </c>
      <c r="D19" s="671">
        <f t="shared" si="0"/>
        <v>3.518125E-3</v>
      </c>
      <c r="E19" s="671">
        <f t="shared" si="0"/>
        <v>7.03625E-3</v>
      </c>
      <c r="F19" s="671">
        <f t="shared" si="0"/>
        <v>1.0554375000000001E-2</v>
      </c>
      <c r="G19" s="671">
        <f t="shared" si="0"/>
        <v>1.40725E-2</v>
      </c>
      <c r="H19" s="671">
        <f t="shared" si="0"/>
        <v>1.7590625000000002E-2</v>
      </c>
      <c r="I19" s="671">
        <f t="shared" si="0"/>
        <v>2.1108750000000003E-2</v>
      </c>
      <c r="J19" s="671">
        <f t="shared" si="0"/>
        <v>2.4626874999999999E-2</v>
      </c>
      <c r="K19" s="671">
        <f t="shared" si="0"/>
        <v>2.8145E-2</v>
      </c>
      <c r="L19" s="671">
        <f t="shared" si="0"/>
        <v>3.1663125E-2</v>
      </c>
      <c r="M19" s="671">
        <f t="shared" si="1"/>
        <v>3.5181250000000004E-2</v>
      </c>
      <c r="N19" s="671">
        <f t="shared" si="1"/>
        <v>4.2217500000000005E-2</v>
      </c>
      <c r="O19" s="671">
        <f t="shared" si="1"/>
        <v>4.9253749999999999E-2</v>
      </c>
      <c r="P19" s="671">
        <f t="shared" si="1"/>
        <v>5.629E-2</v>
      </c>
      <c r="Q19" s="671">
        <f t="shared" si="1"/>
        <v>6.3326250000000001E-2</v>
      </c>
      <c r="R19" s="671">
        <f t="shared" si="1"/>
        <v>7.0362500000000008E-2</v>
      </c>
      <c r="S19" s="671">
        <f t="shared" si="1"/>
        <v>7.4302799999999988E-2</v>
      </c>
    </row>
    <row r="20" spans="1:19" ht="12.75" customHeight="1">
      <c r="B20" s="29"/>
      <c r="C20" s="29"/>
      <c r="D20" s="29"/>
      <c r="E20" s="29"/>
      <c r="F20" s="29"/>
      <c r="G20" s="29"/>
      <c r="H20" s="29"/>
      <c r="I20" s="29"/>
      <c r="J20" s="29"/>
      <c r="K20" s="29"/>
      <c r="L20" s="29"/>
      <c r="M20" s="29"/>
      <c r="N20" s="29"/>
      <c r="O20" s="29"/>
      <c r="P20" s="29"/>
      <c r="Q20" s="29"/>
      <c r="R20" s="29"/>
      <c r="S20" s="29"/>
    </row>
    <row r="21" spans="1:19" ht="12.75" customHeight="1">
      <c r="A21" s="379" t="s">
        <v>666</v>
      </c>
      <c r="B21" s="365"/>
      <c r="C21" s="365"/>
      <c r="D21" s="365"/>
      <c r="E21" s="365"/>
      <c r="F21" s="365"/>
      <c r="G21" s="365"/>
      <c r="H21" s="365"/>
      <c r="I21" s="365"/>
      <c r="J21" s="25"/>
      <c r="K21" s="25"/>
      <c r="L21" s="25"/>
      <c r="M21" s="25"/>
      <c r="N21" s="25"/>
      <c r="O21" s="25"/>
      <c r="P21" s="25"/>
      <c r="Q21" s="25"/>
      <c r="R21" s="25"/>
      <c r="S21" s="25"/>
    </row>
    <row r="22" spans="1:19" ht="12.75" customHeight="1">
      <c r="A22" s="380" t="s">
        <v>762</v>
      </c>
      <c r="B22" s="365"/>
      <c r="C22" s="365"/>
      <c r="D22" s="365"/>
      <c r="E22" s="365"/>
      <c r="F22" s="365"/>
      <c r="G22" s="365"/>
      <c r="H22" s="365"/>
      <c r="I22" s="365"/>
      <c r="J22" s="25"/>
      <c r="K22" s="25"/>
      <c r="L22" s="25"/>
      <c r="M22" s="25"/>
      <c r="N22" s="25"/>
      <c r="O22" s="25"/>
      <c r="P22" s="25"/>
      <c r="Q22" s="25"/>
      <c r="R22" s="25"/>
      <c r="S22" s="25"/>
    </row>
    <row r="23" spans="1:19" ht="15.75" customHeight="1">
      <c r="A23" s="136" t="s">
        <v>763</v>
      </c>
    </row>
    <row r="24" spans="1:19" ht="15.75" customHeight="1">
      <c r="A24" s="379" t="s">
        <v>766</v>
      </c>
    </row>
    <row r="25" spans="1:19" ht="15.75" customHeight="1">
      <c r="A25" s="379" t="s">
        <v>3</v>
      </c>
    </row>
  </sheetData>
  <sheetProtection algorithmName="SHA-512" hashValue="xwfrqVwgMWJg9HnPFwgAV7HVnpquOGle4UqrjOUNFQ1jYgvaf23bo/S2ZbmSoYnlKTMm9DsQ7UwrJXxquz5LGw==" saltValue="9JFrWkR7hU8JsRLFzMJiSA==" spinCount="100000" sheet="1" objects="1" scenarios="1"/>
  <conditionalFormatting sqref="C7:S19">
    <cfRule type="colorScale" priority="1">
      <colorScale>
        <cfvo type="min"/>
        <cfvo type="percentile" val="50"/>
        <cfvo type="max"/>
        <color rgb="FF63BE7B"/>
        <color rgb="FFFFEB84"/>
        <color rgb="FFF8696B"/>
      </colorScale>
    </cfRule>
  </conditionalFormatting>
  <pageMargins left="0.74791666666666667" right="0.74791666666666667" top="0.98402777777777772" bottom="0.98402777777777772" header="0.51180555555555551" footer="0.51180555555555551"/>
  <pageSetup scale="91" firstPageNumber="0" orientation="landscape" horizontalDpi="300" vertic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7030A0"/>
    <pageSetUpPr fitToPage="1"/>
  </sheetPr>
  <dimension ref="A1:IU40"/>
  <sheetViews>
    <sheetView workbookViewId="0">
      <selection activeCell="G13" sqref="G13"/>
    </sheetView>
  </sheetViews>
  <sheetFormatPr defaultColWidth="11.5703125" defaultRowHeight="15.75" customHeight="1"/>
  <cols>
    <col min="1" max="1" width="23.5703125" style="17" customWidth="1"/>
    <col min="2" max="2" width="29.7109375" style="17" customWidth="1"/>
    <col min="3" max="3" width="2.140625" style="17" customWidth="1"/>
    <col min="4" max="4" width="9.5703125" style="17" customWidth="1"/>
    <col min="5" max="5" width="12.42578125" style="17" customWidth="1"/>
    <col min="6" max="7" width="17.140625" style="17" customWidth="1"/>
    <col min="8" max="8" width="34.85546875" style="17" customWidth="1"/>
    <col min="9" max="255" width="17.28515625" style="17" customWidth="1"/>
    <col min="256" max="16384" width="11.5703125" style="18"/>
  </cols>
  <sheetData>
    <row r="1" spans="1:8" ht="15.75" customHeight="1">
      <c r="A1" s="1308" t="s">
        <v>105</v>
      </c>
      <c r="B1" s="1308"/>
      <c r="C1" s="1308"/>
      <c r="D1" s="1308"/>
      <c r="E1" s="1308"/>
      <c r="H1" s="25"/>
    </row>
    <row r="2" spans="1:8" ht="12.75" customHeight="1">
      <c r="A2" s="24"/>
      <c r="B2" s="24"/>
      <c r="C2" s="24"/>
      <c r="D2" s="24"/>
      <c r="E2" s="24"/>
      <c r="G2" s="24"/>
      <c r="H2" s="25"/>
    </row>
    <row r="3" spans="1:8" ht="12.75" customHeight="1">
      <c r="A3" s="672"/>
      <c r="B3" s="673"/>
      <c r="C3" s="674"/>
      <c r="D3" s="675"/>
      <c r="E3" s="676"/>
      <c r="F3" s="54"/>
      <c r="G3" s="42">
        <v>480</v>
      </c>
      <c r="H3" s="47" t="s">
        <v>106</v>
      </c>
    </row>
    <row r="4" spans="1:8" ht="12.75" customHeight="1">
      <c r="A4" s="677" t="s">
        <v>107</v>
      </c>
      <c r="B4" s="678" t="s">
        <v>108</v>
      </c>
      <c r="C4" s="679" t="s">
        <v>109</v>
      </c>
      <c r="D4" s="680">
        <f>(G9*746)/(((G3*G7)*G5)*G17)</f>
        <v>526.38412210982654</v>
      </c>
      <c r="E4" s="681" t="s">
        <v>62</v>
      </c>
      <c r="F4" s="137"/>
      <c r="G4" s="48"/>
      <c r="H4" s="25"/>
    </row>
    <row r="5" spans="1:8" ht="12.75" customHeight="1">
      <c r="A5" s="677"/>
      <c r="B5" s="673" t="s">
        <v>110</v>
      </c>
      <c r="C5" s="679"/>
      <c r="D5" s="680"/>
      <c r="E5" s="681"/>
      <c r="F5" s="54"/>
      <c r="G5" s="42">
        <v>0.8</v>
      </c>
      <c r="H5" s="47" t="s">
        <v>111</v>
      </c>
    </row>
    <row r="6" spans="1:8" ht="12.75" customHeight="1">
      <c r="A6" s="682"/>
      <c r="B6" s="678"/>
      <c r="C6" s="683"/>
      <c r="D6" s="684"/>
      <c r="E6" s="685"/>
      <c r="F6" s="137"/>
      <c r="G6" s="48"/>
      <c r="H6" s="25"/>
    </row>
    <row r="7" spans="1:8" ht="12.75" customHeight="1">
      <c r="A7" s="48"/>
      <c r="B7" s="48"/>
      <c r="C7" s="48"/>
      <c r="D7" s="48"/>
      <c r="E7" s="48"/>
      <c r="F7" s="397"/>
      <c r="G7" s="45">
        <v>0.8</v>
      </c>
      <c r="H7" s="47" t="s">
        <v>112</v>
      </c>
    </row>
    <row r="8" spans="1:8" ht="12.75" customHeight="1">
      <c r="A8" s="55"/>
      <c r="B8" s="686"/>
      <c r="C8" s="57"/>
      <c r="D8" s="58"/>
      <c r="E8" s="59"/>
      <c r="F8" s="137"/>
      <c r="G8" s="48"/>
      <c r="H8" s="25"/>
    </row>
    <row r="9" spans="1:8" ht="12.75" customHeight="1">
      <c r="A9" s="64" t="s">
        <v>107</v>
      </c>
      <c r="B9" s="687" t="s">
        <v>113</v>
      </c>
      <c r="C9" s="65" t="s">
        <v>109</v>
      </c>
      <c r="D9" s="66">
        <f>(G11*1000)/((G3*G5)*G17)</f>
        <v>180.63583815028903</v>
      </c>
      <c r="E9" s="67" t="s">
        <v>62</v>
      </c>
      <c r="F9" s="54"/>
      <c r="G9" s="42">
        <v>375</v>
      </c>
      <c r="H9" s="47" t="s">
        <v>114</v>
      </c>
    </row>
    <row r="10" spans="1:8" ht="12.75" customHeight="1">
      <c r="A10" s="64"/>
      <c r="B10" s="686" t="s">
        <v>115</v>
      </c>
      <c r="C10" s="65"/>
      <c r="D10" s="66"/>
      <c r="E10" s="67"/>
      <c r="F10" s="137"/>
      <c r="G10" s="48"/>
      <c r="H10" s="25"/>
    </row>
    <row r="11" spans="1:8" ht="12.75" customHeight="1">
      <c r="A11" s="73"/>
      <c r="B11" s="687"/>
      <c r="C11" s="75"/>
      <c r="D11" s="76"/>
      <c r="E11" s="77"/>
      <c r="F11" s="54"/>
      <c r="G11" s="42">
        <v>120</v>
      </c>
      <c r="H11" s="47" t="s">
        <v>116</v>
      </c>
    </row>
    <row r="12" spans="1:8" ht="12.75" customHeight="1">
      <c r="A12" s="48"/>
      <c r="B12" s="48"/>
      <c r="C12" s="48"/>
      <c r="D12" s="48"/>
      <c r="E12" s="48"/>
      <c r="G12" s="48"/>
      <c r="H12" s="25"/>
    </row>
    <row r="13" spans="1:8" ht="12.75" customHeight="1">
      <c r="A13" s="83"/>
      <c r="B13" s="688"/>
      <c r="C13" s="85"/>
      <c r="D13" s="86"/>
      <c r="E13" s="87"/>
      <c r="F13" s="54"/>
      <c r="G13" s="42">
        <v>120</v>
      </c>
      <c r="H13" s="47" t="s">
        <v>117</v>
      </c>
    </row>
    <row r="14" spans="1:8" ht="12.75" customHeight="1">
      <c r="A14" s="93" t="s">
        <v>107</v>
      </c>
      <c r="B14" s="689" t="s">
        <v>118</v>
      </c>
      <c r="C14" s="95" t="s">
        <v>109</v>
      </c>
      <c r="D14" s="96">
        <f>(G13*1000)/(G3*G17)</f>
        <v>144.50867052023122</v>
      </c>
      <c r="E14" s="97" t="s">
        <v>62</v>
      </c>
      <c r="F14" s="137"/>
      <c r="G14" s="48"/>
      <c r="H14" s="25"/>
    </row>
    <row r="15" spans="1:8" ht="12.75" customHeight="1">
      <c r="A15" s="93"/>
      <c r="B15" s="688" t="s">
        <v>119</v>
      </c>
      <c r="C15" s="95"/>
      <c r="D15" s="96"/>
      <c r="E15" s="97"/>
      <c r="F15" s="54"/>
      <c r="G15" s="42">
        <v>180</v>
      </c>
      <c r="H15" s="47" t="s">
        <v>120</v>
      </c>
    </row>
    <row r="16" spans="1:8" ht="12.75" customHeight="1">
      <c r="A16" s="102"/>
      <c r="B16" s="689"/>
      <c r="C16" s="103"/>
      <c r="D16" s="104"/>
      <c r="E16" s="105"/>
      <c r="F16" s="137"/>
      <c r="G16" s="48"/>
      <c r="H16" s="25"/>
    </row>
    <row r="17" spans="1:8" ht="12.75" customHeight="1">
      <c r="A17" s="48"/>
      <c r="B17" s="48"/>
      <c r="C17" s="48"/>
      <c r="D17" s="48"/>
      <c r="E17" s="48"/>
      <c r="F17" s="397"/>
      <c r="G17" s="42">
        <v>1.73</v>
      </c>
      <c r="H17" s="47" t="s">
        <v>121</v>
      </c>
    </row>
    <row r="18" spans="1:8" ht="12.75" customHeight="1">
      <c r="A18" s="690"/>
      <c r="B18" s="691"/>
      <c r="C18" s="692"/>
      <c r="D18" s="693"/>
      <c r="E18" s="694"/>
      <c r="F18" s="137"/>
      <c r="G18" s="29"/>
      <c r="H18" s="28" t="s">
        <v>122</v>
      </c>
    </row>
    <row r="19" spans="1:8" ht="12.75" customHeight="1">
      <c r="A19" s="695" t="s">
        <v>123</v>
      </c>
      <c r="B19" s="696" t="s">
        <v>124</v>
      </c>
      <c r="C19" s="697" t="s">
        <v>109</v>
      </c>
      <c r="D19" s="698">
        <f>(((G3*G15)*G5)*G17)/1000</f>
        <v>119.5776</v>
      </c>
      <c r="E19" s="699" t="s">
        <v>125</v>
      </c>
      <c r="F19" s="137"/>
      <c r="H19" s="25"/>
    </row>
    <row r="20" spans="1:8" ht="12.75" customHeight="1">
      <c r="A20" s="695"/>
      <c r="B20" s="691">
        <v>1000</v>
      </c>
      <c r="C20" s="697"/>
      <c r="D20" s="698"/>
      <c r="E20" s="699"/>
      <c r="F20" s="137"/>
      <c r="H20" s="25"/>
    </row>
    <row r="21" spans="1:8" ht="12.75" customHeight="1">
      <c r="A21" s="700"/>
      <c r="B21" s="696"/>
      <c r="C21" s="701"/>
      <c r="D21" s="702"/>
      <c r="E21" s="703"/>
      <c r="F21" s="137"/>
      <c r="H21" s="25"/>
    </row>
    <row r="22" spans="1:8" ht="12.75" customHeight="1">
      <c r="A22" s="48"/>
      <c r="B22" s="48"/>
      <c r="C22" s="48"/>
      <c r="D22" s="48"/>
      <c r="E22" s="48"/>
      <c r="H22" s="25"/>
    </row>
    <row r="23" spans="1:8" ht="12.75" customHeight="1">
      <c r="A23" s="704"/>
      <c r="B23" s="705"/>
      <c r="C23" s="706"/>
      <c r="D23" s="707"/>
      <c r="E23" s="708"/>
      <c r="F23" s="137"/>
      <c r="H23" s="25"/>
    </row>
    <row r="24" spans="1:8" ht="12.75" customHeight="1">
      <c r="A24" s="709" t="s">
        <v>126</v>
      </c>
      <c r="B24" s="710" t="s">
        <v>127</v>
      </c>
      <c r="C24" s="711" t="s">
        <v>109</v>
      </c>
      <c r="D24" s="712">
        <f>((G3*G15)*G17)/1000</f>
        <v>149.47200000000001</v>
      </c>
      <c r="E24" s="713" t="s">
        <v>128</v>
      </c>
      <c r="F24" s="137"/>
      <c r="H24" s="25"/>
    </row>
    <row r="25" spans="1:8" ht="12.75" customHeight="1">
      <c r="A25" s="709"/>
      <c r="B25" s="705">
        <v>1000</v>
      </c>
      <c r="C25" s="711"/>
      <c r="D25" s="712"/>
      <c r="E25" s="713"/>
      <c r="F25" s="137"/>
      <c r="H25" s="25"/>
    </row>
    <row r="26" spans="1:8" ht="12.75" customHeight="1">
      <c r="A26" s="714"/>
      <c r="B26" s="710"/>
      <c r="C26" s="715"/>
      <c r="D26" s="716"/>
      <c r="E26" s="717"/>
      <c r="F26" s="137"/>
      <c r="H26" s="25"/>
    </row>
    <row r="27" spans="1:8" ht="12.75" customHeight="1">
      <c r="A27" s="48"/>
      <c r="B27" s="48"/>
      <c r="C27" s="48"/>
      <c r="D27" s="48"/>
      <c r="E27" s="48"/>
      <c r="H27" s="25"/>
    </row>
    <row r="28" spans="1:8" ht="12.75" customHeight="1">
      <c r="A28" s="718"/>
      <c r="B28" s="719"/>
      <c r="C28" s="720"/>
      <c r="D28" s="721"/>
      <c r="E28" s="722"/>
      <c r="F28" s="137"/>
      <c r="H28" s="25"/>
    </row>
    <row r="29" spans="1:8" ht="12.75" customHeight="1">
      <c r="A29" s="723" t="s">
        <v>129</v>
      </c>
      <c r="B29" s="724" t="s">
        <v>130</v>
      </c>
      <c r="C29" s="725" t="s">
        <v>109</v>
      </c>
      <c r="D29" s="726">
        <f>((((G3*G15)*G7)*G5)*G17)/746</f>
        <v>128.23335120643432</v>
      </c>
      <c r="E29" s="727" t="s">
        <v>131</v>
      </c>
      <c r="F29" s="137"/>
      <c r="H29" s="25"/>
    </row>
    <row r="30" spans="1:8" ht="12.75" customHeight="1">
      <c r="A30" s="723"/>
      <c r="B30" s="719">
        <v>746</v>
      </c>
      <c r="C30" s="725"/>
      <c r="D30" s="726"/>
      <c r="E30" s="727"/>
      <c r="F30" s="137"/>
      <c r="H30" s="25"/>
    </row>
    <row r="31" spans="1:8" ht="12.75" customHeight="1">
      <c r="A31" s="728"/>
      <c r="B31" s="724"/>
      <c r="C31" s="729"/>
      <c r="D31" s="730"/>
      <c r="E31" s="731"/>
      <c r="F31" s="137"/>
      <c r="H31" s="25"/>
    </row>
    <row r="32" spans="1:8" ht="12.75" customHeight="1">
      <c r="A32" s="25"/>
      <c r="B32" s="25"/>
      <c r="C32" s="25"/>
      <c r="D32" s="25"/>
      <c r="E32" s="25"/>
      <c r="H32" s="25"/>
    </row>
    <row r="33" spans="1:8" ht="12.75" customHeight="1">
      <c r="A33" s="379" t="s">
        <v>666</v>
      </c>
      <c r="B33" s="387"/>
      <c r="C33" s="387"/>
      <c r="D33" s="387"/>
      <c r="E33" s="387"/>
      <c r="H33" s="25"/>
    </row>
    <row r="34" spans="1:8" ht="12.75" customHeight="1">
      <c r="A34" s="380" t="s">
        <v>762</v>
      </c>
      <c r="B34" s="387"/>
      <c r="C34" s="387"/>
      <c r="D34" s="387"/>
      <c r="E34" s="387"/>
      <c r="H34" s="25"/>
    </row>
    <row r="35" spans="1:8" ht="12.75" customHeight="1">
      <c r="A35" s="136" t="s">
        <v>763</v>
      </c>
      <c r="B35" s="387"/>
      <c r="C35" s="387"/>
      <c r="D35" s="387"/>
      <c r="E35" s="387"/>
      <c r="H35" s="25"/>
    </row>
    <row r="36" spans="1:8" ht="15.75" customHeight="1">
      <c r="A36" s="379" t="s">
        <v>766</v>
      </c>
      <c r="B36" s="251"/>
      <c r="C36" s="251"/>
      <c r="D36" s="251"/>
      <c r="E36" s="251"/>
    </row>
    <row r="37" spans="1:8" ht="15.75" customHeight="1">
      <c r="A37" s="379" t="s">
        <v>3</v>
      </c>
      <c r="B37" s="251"/>
      <c r="C37" s="251"/>
      <c r="D37" s="251"/>
      <c r="E37" s="251"/>
    </row>
    <row r="38" spans="1:8" ht="15.75" customHeight="1">
      <c r="A38" s="251"/>
      <c r="B38" s="251"/>
      <c r="C38" s="251"/>
      <c r="D38" s="251"/>
      <c r="E38" s="251"/>
    </row>
    <row r="39" spans="1:8" ht="15.75" customHeight="1">
      <c r="A39" s="251"/>
      <c r="B39" s="251"/>
      <c r="C39" s="251"/>
      <c r="D39" s="251"/>
      <c r="E39" s="251"/>
    </row>
    <row r="40" spans="1:8" ht="15.75" customHeight="1">
      <c r="A40" s="251"/>
      <c r="B40" s="251"/>
      <c r="C40" s="251"/>
      <c r="D40" s="251"/>
      <c r="E40" s="251"/>
    </row>
  </sheetData>
  <sheetProtection algorithmName="SHA-512" hashValue="sF/wHI64cSHoCHrWszb2t9GAS9iYnkOzWTj7mAyHKiWwsZnQPLU6zM/mrYZTuBjLOW/XTLZZkrc785tSh9VoNw==" saltValue="svLh1wUHwo4mKtEVdgn58w==" spinCount="100000" sheet="1" objects="1" scenarios="1"/>
  <mergeCells count="1">
    <mergeCell ref="A1:E1"/>
  </mergeCells>
  <pageMargins left="0.74791666666666667" right="0.74791666666666667" top="0.98402777777777772" bottom="0.98402777777777772" header="0.51180555555555551" footer="0.51180555555555551"/>
  <pageSetup paperSize="75" scale="85" firstPageNumber="0" orientation="portrait" horizontalDpi="300" verticalDpi="3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7030A0"/>
    <pageSetUpPr fitToPage="1"/>
  </sheetPr>
  <dimension ref="A1:IR45"/>
  <sheetViews>
    <sheetView workbookViewId="0">
      <selection activeCell="H2" sqref="H2"/>
    </sheetView>
  </sheetViews>
  <sheetFormatPr defaultColWidth="11.5703125" defaultRowHeight="15.75" customHeight="1"/>
  <cols>
    <col min="1" max="1" width="11.7109375" style="17" customWidth="1"/>
    <col min="2" max="2" width="15.5703125" style="17" customWidth="1"/>
    <col min="3" max="3" width="2" style="17" customWidth="1"/>
    <col min="4" max="4" width="7.42578125" style="17" customWidth="1"/>
    <col min="5" max="5" width="7.85546875" style="17" customWidth="1"/>
    <col min="6" max="6" width="3.5703125" style="17" customWidth="1"/>
    <col min="7" max="7" width="9.85546875" style="17" customWidth="1"/>
    <col min="8" max="8" width="16.85546875" style="17" customWidth="1"/>
    <col min="9" max="9" width="2.85546875" style="17" customWidth="1"/>
    <col min="10" max="10" width="8.85546875" style="17" customWidth="1"/>
    <col min="11" max="11" width="8.42578125" style="17" customWidth="1"/>
    <col min="12" max="252" width="17.28515625" style="17" customWidth="1"/>
    <col min="253" max="16384" width="11.5703125" style="18"/>
  </cols>
  <sheetData>
    <row r="1" spans="1:11" ht="15.75" customHeight="1">
      <c r="A1" s="46" t="s">
        <v>132</v>
      </c>
      <c r="B1" s="25"/>
      <c r="C1" s="25"/>
      <c r="D1" s="25"/>
      <c r="E1" s="25"/>
      <c r="F1" s="25"/>
      <c r="G1" s="25"/>
      <c r="H1" s="25"/>
      <c r="I1" s="25"/>
      <c r="J1" s="25"/>
      <c r="K1" s="885">
        <v>42676</v>
      </c>
    </row>
    <row r="2" spans="1:11" ht="12.75" customHeight="1">
      <c r="A2" s="24"/>
      <c r="B2" s="25"/>
      <c r="C2" s="25"/>
      <c r="D2" s="25"/>
      <c r="E2" s="25"/>
      <c r="F2" s="25"/>
      <c r="G2" s="25"/>
      <c r="H2" s="25"/>
      <c r="I2" s="25"/>
      <c r="J2" s="25"/>
    </row>
    <row r="3" spans="1:11" ht="12.75" customHeight="1">
      <c r="A3" s="886">
        <v>120</v>
      </c>
      <c r="B3" s="47" t="s">
        <v>133</v>
      </c>
      <c r="C3" s="25"/>
      <c r="D3" s="25"/>
      <c r="E3" s="25"/>
      <c r="F3" s="25"/>
      <c r="G3" s="25"/>
      <c r="H3" s="25"/>
      <c r="I3" s="25"/>
      <c r="J3" s="25"/>
    </row>
    <row r="4" spans="1:11" ht="12.75" customHeight="1">
      <c r="A4" s="48"/>
      <c r="B4" s="25"/>
      <c r="C4" s="25"/>
      <c r="D4" s="25"/>
      <c r="E4" s="1309" t="s">
        <v>134</v>
      </c>
      <c r="F4" s="1309"/>
      <c r="G4" s="1309"/>
      <c r="H4" s="1309"/>
      <c r="I4" s="1309"/>
      <c r="J4" s="1309"/>
    </row>
    <row r="5" spans="1:11" ht="12.75" customHeight="1">
      <c r="A5" s="886">
        <v>12</v>
      </c>
      <c r="B5" s="47" t="s">
        <v>135</v>
      </c>
      <c r="C5" s="25"/>
      <c r="D5" s="25"/>
      <c r="E5" s="1309"/>
      <c r="F5" s="1309"/>
      <c r="G5" s="1309"/>
      <c r="H5" s="1309"/>
      <c r="I5" s="1309"/>
      <c r="J5" s="1309"/>
    </row>
    <row r="6" spans="1:11" ht="12.75" customHeight="1">
      <c r="A6" s="48"/>
      <c r="B6" s="25"/>
      <c r="C6" s="25"/>
      <c r="D6" s="25"/>
      <c r="E6" s="1309"/>
      <c r="F6" s="1309"/>
      <c r="G6" s="1309"/>
      <c r="H6" s="1309"/>
      <c r="I6" s="1309"/>
      <c r="J6" s="1309"/>
    </row>
    <row r="7" spans="1:11" ht="12.75" customHeight="1">
      <c r="A7" s="886">
        <v>10</v>
      </c>
      <c r="B7" s="47" t="s">
        <v>136</v>
      </c>
      <c r="C7" s="25"/>
      <c r="D7" s="25"/>
      <c r="E7" s="1207"/>
      <c r="F7" s="1207"/>
      <c r="G7" s="1207"/>
      <c r="H7" s="1207"/>
      <c r="I7" s="1207"/>
      <c r="J7" s="1207"/>
    </row>
    <row r="8" spans="1:11" ht="12.75" customHeight="1">
      <c r="A8" s="48"/>
      <c r="B8" s="25"/>
      <c r="C8" s="25"/>
      <c r="D8" s="25"/>
      <c r="E8" s="1207"/>
      <c r="F8" s="1207"/>
      <c r="G8" s="1207"/>
      <c r="H8" s="1207"/>
      <c r="I8" s="1207"/>
      <c r="J8" s="1207"/>
    </row>
    <row r="9" spans="1:11" ht="12.75" customHeight="1">
      <c r="A9" s="886">
        <v>1200</v>
      </c>
      <c r="B9" s="47" t="s">
        <v>137</v>
      </c>
      <c r="C9" s="25"/>
      <c r="D9" s="25"/>
      <c r="E9" s="1207"/>
      <c r="F9" s="1207"/>
      <c r="G9" s="1207"/>
      <c r="H9" s="1207"/>
      <c r="I9" s="1207"/>
      <c r="J9" s="1207"/>
    </row>
    <row r="10" spans="1:11" ht="12.75" customHeight="1">
      <c r="A10" s="48"/>
      <c r="B10" s="24"/>
      <c r="C10" s="24"/>
      <c r="D10" s="24"/>
      <c r="E10" s="24"/>
      <c r="F10" s="25"/>
      <c r="G10" s="24"/>
      <c r="H10" s="24"/>
      <c r="I10" s="24"/>
      <c r="J10" s="24"/>
      <c r="K10" s="24"/>
    </row>
    <row r="11" spans="1:11" ht="12.75" customHeight="1">
      <c r="A11" s="49"/>
      <c r="B11" s="50"/>
      <c r="C11" s="51"/>
      <c r="D11" s="52"/>
      <c r="E11" s="53"/>
      <c r="F11" s="54"/>
      <c r="G11" s="55"/>
      <c r="H11" s="56"/>
      <c r="I11" s="57"/>
      <c r="J11" s="58"/>
      <c r="K11" s="59"/>
    </row>
    <row r="12" spans="1:11" ht="12.75" customHeight="1">
      <c r="A12" s="60" t="s">
        <v>138</v>
      </c>
      <c r="B12" s="61" t="s">
        <v>139</v>
      </c>
      <c r="C12" s="61" t="s">
        <v>109</v>
      </c>
      <c r="D12" s="62">
        <f>SQRT((A9/A5))</f>
        <v>10</v>
      </c>
      <c r="E12" s="63"/>
      <c r="F12" s="54"/>
      <c r="G12" s="64" t="s">
        <v>140</v>
      </c>
      <c r="H12" s="65" t="s">
        <v>141</v>
      </c>
      <c r="I12" s="65" t="s">
        <v>109</v>
      </c>
      <c r="J12" s="66">
        <f>SQRT((A9*A5))</f>
        <v>120</v>
      </c>
      <c r="K12" s="67"/>
    </row>
    <row r="13" spans="1:11" ht="12.75" customHeight="1">
      <c r="A13" s="60"/>
      <c r="B13" s="61"/>
      <c r="C13" s="61"/>
      <c r="D13" s="62"/>
      <c r="E13" s="63"/>
      <c r="F13" s="54"/>
      <c r="G13" s="64"/>
      <c r="H13" s="65"/>
      <c r="I13" s="65"/>
      <c r="J13" s="66"/>
      <c r="K13" s="67"/>
    </row>
    <row r="14" spans="1:11" ht="12.75" customHeight="1">
      <c r="A14" s="68"/>
      <c r="B14" s="69"/>
      <c r="C14" s="70"/>
      <c r="D14" s="71"/>
      <c r="E14" s="72"/>
      <c r="F14" s="54"/>
      <c r="G14" s="73"/>
      <c r="H14" s="74"/>
      <c r="I14" s="75"/>
      <c r="J14" s="76"/>
      <c r="K14" s="77"/>
    </row>
    <row r="15" spans="1:11" ht="12.75" customHeight="1">
      <c r="A15" s="48"/>
      <c r="B15" s="48"/>
      <c r="C15" s="48"/>
      <c r="D15" s="48"/>
      <c r="E15" s="48"/>
      <c r="F15" s="25"/>
      <c r="G15" s="48"/>
      <c r="H15" s="48"/>
      <c r="I15" s="48"/>
      <c r="J15" s="48"/>
      <c r="K15" s="48"/>
    </row>
    <row r="16" spans="1:11" ht="12.75" customHeight="1">
      <c r="A16" s="49"/>
      <c r="B16" s="50"/>
      <c r="C16" s="51"/>
      <c r="D16" s="52"/>
      <c r="E16" s="53"/>
      <c r="F16" s="54"/>
      <c r="G16" s="55"/>
      <c r="H16" s="56"/>
      <c r="I16" s="57"/>
      <c r="J16" s="58"/>
      <c r="K16" s="59"/>
    </row>
    <row r="17" spans="1:11" ht="12.75" customHeight="1">
      <c r="A17" s="60" t="s">
        <v>138</v>
      </c>
      <c r="B17" s="69" t="s">
        <v>142</v>
      </c>
      <c r="C17" s="61" t="s">
        <v>109</v>
      </c>
      <c r="D17" s="62">
        <f>A9/A3</f>
        <v>10</v>
      </c>
      <c r="E17" s="63"/>
      <c r="F17" s="54"/>
      <c r="G17" s="64" t="s">
        <v>140</v>
      </c>
      <c r="H17" s="65" t="s">
        <v>143</v>
      </c>
      <c r="I17" s="65" t="s">
        <v>109</v>
      </c>
      <c r="J17" s="66">
        <f>A7*A5</f>
        <v>120</v>
      </c>
      <c r="K17" s="67"/>
    </row>
    <row r="18" spans="1:11" ht="12.75" customHeight="1">
      <c r="A18" s="60"/>
      <c r="B18" s="50" t="s">
        <v>29</v>
      </c>
      <c r="C18" s="61"/>
      <c r="D18" s="62"/>
      <c r="E18" s="63"/>
      <c r="F18" s="54"/>
      <c r="G18" s="64"/>
      <c r="H18" s="65"/>
      <c r="I18" s="65"/>
      <c r="J18" s="66"/>
      <c r="K18" s="67"/>
    </row>
    <row r="19" spans="1:11" ht="12.75" customHeight="1">
      <c r="A19" s="68"/>
      <c r="B19" s="69"/>
      <c r="C19" s="70"/>
      <c r="D19" s="71"/>
      <c r="E19" s="72"/>
      <c r="F19" s="54"/>
      <c r="G19" s="73"/>
      <c r="H19" s="74"/>
      <c r="I19" s="75"/>
      <c r="J19" s="76"/>
      <c r="K19" s="77"/>
    </row>
    <row r="20" spans="1:11" ht="12.75" customHeight="1">
      <c r="A20" s="48"/>
      <c r="B20" s="48"/>
      <c r="C20" s="48"/>
      <c r="D20" s="48"/>
      <c r="E20" s="48"/>
      <c r="F20" s="25"/>
      <c r="G20" s="48"/>
      <c r="H20" s="48"/>
      <c r="I20" s="48"/>
      <c r="J20" s="48"/>
      <c r="K20" s="48"/>
    </row>
    <row r="21" spans="1:11" ht="12.75" customHeight="1">
      <c r="A21" s="49"/>
      <c r="B21" s="50"/>
      <c r="C21" s="51"/>
      <c r="D21" s="52"/>
      <c r="E21" s="53"/>
      <c r="F21" s="54"/>
      <c r="G21" s="55"/>
      <c r="H21" s="56"/>
      <c r="I21" s="57"/>
      <c r="J21" s="58"/>
      <c r="K21" s="59"/>
    </row>
    <row r="22" spans="1:11" ht="12.75" customHeight="1">
      <c r="A22" s="60" t="s">
        <v>138</v>
      </c>
      <c r="B22" s="69" t="s">
        <v>29</v>
      </c>
      <c r="C22" s="61" t="s">
        <v>109</v>
      </c>
      <c r="D22" s="62">
        <f>A3/A5</f>
        <v>10</v>
      </c>
      <c r="E22" s="63"/>
      <c r="F22" s="54"/>
      <c r="G22" s="64" t="s">
        <v>140</v>
      </c>
      <c r="H22" s="74" t="s">
        <v>142</v>
      </c>
      <c r="I22" s="65" t="s">
        <v>109</v>
      </c>
      <c r="J22" s="66">
        <f>A9/A7</f>
        <v>120</v>
      </c>
      <c r="K22" s="67"/>
    </row>
    <row r="23" spans="1:11" ht="12.75" customHeight="1">
      <c r="A23" s="60"/>
      <c r="B23" s="50" t="s">
        <v>144</v>
      </c>
      <c r="C23" s="61"/>
      <c r="D23" s="62"/>
      <c r="E23" s="63"/>
      <c r="F23" s="54"/>
      <c r="G23" s="64"/>
      <c r="H23" s="56" t="s">
        <v>74</v>
      </c>
      <c r="I23" s="65"/>
      <c r="J23" s="66"/>
      <c r="K23" s="67"/>
    </row>
    <row r="24" spans="1:11" ht="12.75" customHeight="1">
      <c r="A24" s="68"/>
      <c r="B24" s="69"/>
      <c r="C24" s="70"/>
      <c r="D24" s="71"/>
      <c r="E24" s="72"/>
      <c r="F24" s="54"/>
      <c r="G24" s="73"/>
      <c r="H24" s="74"/>
      <c r="I24" s="75"/>
      <c r="J24" s="76"/>
      <c r="K24" s="77"/>
    </row>
    <row r="25" spans="1:11" ht="12.75" customHeight="1">
      <c r="A25" s="48"/>
      <c r="B25" s="48"/>
      <c r="C25" s="48"/>
      <c r="D25" s="48"/>
      <c r="E25" s="48"/>
      <c r="F25" s="25"/>
      <c r="G25" s="48"/>
      <c r="H25" s="48"/>
      <c r="I25" s="48"/>
      <c r="J25" s="48"/>
      <c r="K25" s="48"/>
    </row>
    <row r="26" spans="1:11" ht="12.75" customHeight="1">
      <c r="A26" s="78"/>
      <c r="B26" s="79"/>
      <c r="C26" s="80"/>
      <c r="D26" s="81"/>
      <c r="E26" s="82"/>
      <c r="F26" s="54"/>
      <c r="G26" s="83"/>
      <c r="H26" s="84"/>
      <c r="I26" s="85"/>
      <c r="J26" s="86"/>
      <c r="K26" s="87"/>
    </row>
    <row r="27" spans="1:11" ht="15.75" customHeight="1">
      <c r="A27" s="88" t="s">
        <v>145</v>
      </c>
      <c r="B27" s="89" t="s">
        <v>982</v>
      </c>
      <c r="C27" s="90" t="s">
        <v>109</v>
      </c>
      <c r="D27" s="91">
        <f>POWER(A3,2)/A5</f>
        <v>1200</v>
      </c>
      <c r="E27" s="92"/>
      <c r="F27" s="54"/>
      <c r="G27" s="93" t="s">
        <v>146</v>
      </c>
      <c r="H27" s="94" t="s">
        <v>982</v>
      </c>
      <c r="I27" s="95" t="s">
        <v>109</v>
      </c>
      <c r="J27" s="96">
        <f>POWER(A3,2)/A9</f>
        <v>12</v>
      </c>
      <c r="K27" s="97"/>
    </row>
    <row r="28" spans="1:11" ht="12.75" customHeight="1">
      <c r="A28" s="88"/>
      <c r="B28" s="79" t="s">
        <v>144</v>
      </c>
      <c r="C28" s="90"/>
      <c r="D28" s="91"/>
      <c r="E28" s="92"/>
      <c r="F28" s="54"/>
      <c r="G28" s="93"/>
      <c r="H28" s="84" t="s">
        <v>142</v>
      </c>
      <c r="I28" s="95"/>
      <c r="J28" s="96"/>
      <c r="K28" s="97"/>
    </row>
    <row r="29" spans="1:11" ht="12.75" customHeight="1">
      <c r="A29" s="98"/>
      <c r="B29" s="89"/>
      <c r="C29" s="99"/>
      <c r="D29" s="100"/>
      <c r="E29" s="101"/>
      <c r="F29" s="54"/>
      <c r="G29" s="102"/>
      <c r="H29" s="94"/>
      <c r="I29" s="103"/>
      <c r="J29" s="104"/>
      <c r="K29" s="105"/>
    </row>
    <row r="30" spans="1:11" ht="12.75" customHeight="1">
      <c r="A30" s="48"/>
      <c r="B30" s="48"/>
      <c r="C30" s="48"/>
      <c r="D30" s="48"/>
      <c r="E30" s="48"/>
      <c r="F30" s="25"/>
      <c r="G30" s="48"/>
      <c r="H30" s="48"/>
      <c r="I30" s="48"/>
      <c r="J30" s="48"/>
      <c r="K30" s="48"/>
    </row>
    <row r="31" spans="1:11" ht="12.75" customHeight="1">
      <c r="A31" s="78"/>
      <c r="B31" s="79"/>
      <c r="C31" s="80"/>
      <c r="D31" s="81"/>
      <c r="E31" s="82"/>
      <c r="F31" s="54"/>
      <c r="G31" s="83"/>
      <c r="H31" s="84"/>
      <c r="I31" s="85"/>
      <c r="J31" s="86"/>
      <c r="K31" s="87"/>
    </row>
    <row r="32" spans="1:11" ht="12.75" customHeight="1">
      <c r="A32" s="88" t="s">
        <v>145</v>
      </c>
      <c r="B32" s="90" t="s">
        <v>147</v>
      </c>
      <c r="C32" s="90" t="s">
        <v>109</v>
      </c>
      <c r="D32" s="91">
        <f>A3*A7</f>
        <v>1200</v>
      </c>
      <c r="E32" s="92"/>
      <c r="F32" s="54"/>
      <c r="G32" s="93" t="s">
        <v>146</v>
      </c>
      <c r="H32" s="94" t="s">
        <v>142</v>
      </c>
      <c r="I32" s="95" t="s">
        <v>109</v>
      </c>
      <c r="J32" s="96">
        <f>A9/POWER(A7,2)</f>
        <v>12</v>
      </c>
      <c r="K32" s="97"/>
    </row>
    <row r="33" spans="1:11" ht="15.75" customHeight="1">
      <c r="A33" s="88"/>
      <c r="B33" s="90"/>
      <c r="C33" s="90"/>
      <c r="D33" s="91"/>
      <c r="E33" s="92"/>
      <c r="F33" s="54"/>
      <c r="G33" s="93"/>
      <c r="H33" s="84" t="s">
        <v>984</v>
      </c>
      <c r="I33" s="95"/>
      <c r="J33" s="96"/>
      <c r="K33" s="97"/>
    </row>
    <row r="34" spans="1:11" ht="12.75" customHeight="1">
      <c r="A34" s="98"/>
      <c r="B34" s="89"/>
      <c r="C34" s="99"/>
      <c r="D34" s="100"/>
      <c r="E34" s="101"/>
      <c r="F34" s="54"/>
      <c r="G34" s="102"/>
      <c r="H34" s="94"/>
      <c r="I34" s="103"/>
      <c r="J34" s="104"/>
      <c r="K34" s="105"/>
    </row>
    <row r="35" spans="1:11" ht="12.75" customHeight="1">
      <c r="A35" s="48"/>
      <c r="B35" s="48"/>
      <c r="C35" s="48"/>
      <c r="D35" s="48"/>
      <c r="E35" s="48"/>
      <c r="F35" s="25"/>
      <c r="G35" s="48"/>
      <c r="H35" s="48"/>
      <c r="I35" s="48"/>
      <c r="J35" s="48"/>
      <c r="K35" s="48"/>
    </row>
    <row r="36" spans="1:11" ht="12.75" customHeight="1">
      <c r="A36" s="78"/>
      <c r="B36" s="79"/>
      <c r="C36" s="80"/>
      <c r="D36" s="81"/>
      <c r="E36" s="82"/>
      <c r="F36" s="54"/>
      <c r="G36" s="83"/>
      <c r="H36" s="84"/>
      <c r="I36" s="85"/>
      <c r="J36" s="86"/>
      <c r="K36" s="87"/>
    </row>
    <row r="37" spans="1:11" ht="12.75" customHeight="1">
      <c r="A37" s="88" t="s">
        <v>145</v>
      </c>
      <c r="B37" s="99" t="s">
        <v>983</v>
      </c>
      <c r="C37" s="90" t="s">
        <v>109</v>
      </c>
      <c r="D37" s="91">
        <f>POWER(A7,2)*A5</f>
        <v>1200</v>
      </c>
      <c r="E37" s="92"/>
      <c r="F37" s="54"/>
      <c r="G37" s="93" t="s">
        <v>146</v>
      </c>
      <c r="H37" s="94" t="s">
        <v>29</v>
      </c>
      <c r="I37" s="95" t="s">
        <v>109</v>
      </c>
      <c r="J37" s="96">
        <f>A3/A7</f>
        <v>12</v>
      </c>
      <c r="K37" s="97"/>
    </row>
    <row r="38" spans="1:11" ht="12.75" customHeight="1">
      <c r="A38" s="88"/>
      <c r="B38" s="106"/>
      <c r="C38" s="90"/>
      <c r="D38" s="91"/>
      <c r="E38" s="92"/>
      <c r="F38" s="54"/>
      <c r="G38" s="93"/>
      <c r="H38" s="84" t="s">
        <v>74</v>
      </c>
      <c r="I38" s="95"/>
      <c r="J38" s="96"/>
      <c r="K38" s="97"/>
    </row>
    <row r="39" spans="1:11" ht="12.75" customHeight="1">
      <c r="A39" s="98"/>
      <c r="B39" s="89"/>
      <c r="C39" s="99"/>
      <c r="D39" s="100"/>
      <c r="E39" s="101"/>
      <c r="F39" s="54"/>
      <c r="G39" s="102"/>
      <c r="H39" s="94"/>
      <c r="I39" s="103"/>
      <c r="J39" s="104"/>
      <c r="K39" s="105"/>
    </row>
    <row r="40" spans="1:11" ht="12.75" customHeight="1">
      <c r="A40" s="25"/>
      <c r="B40" s="25"/>
      <c r="C40" s="25"/>
      <c r="D40" s="25"/>
      <c r="E40" s="25"/>
      <c r="F40" s="25"/>
      <c r="G40" s="25"/>
      <c r="H40" s="25"/>
      <c r="I40" s="25"/>
      <c r="J40" s="25"/>
    </row>
    <row r="41" spans="1:11" ht="12.75" customHeight="1">
      <c r="A41" s="767" t="s">
        <v>666</v>
      </c>
      <c r="B41" s="365"/>
      <c r="C41" s="365"/>
      <c r="D41" s="365"/>
      <c r="E41" s="365"/>
      <c r="F41" s="365"/>
      <c r="G41" s="365"/>
      <c r="H41" s="365"/>
      <c r="I41" s="25"/>
      <c r="J41" s="25"/>
    </row>
    <row r="42" spans="1:11" ht="12.75" customHeight="1">
      <c r="A42" s="768" t="s">
        <v>762</v>
      </c>
      <c r="B42" s="365"/>
      <c r="C42" s="365"/>
      <c r="D42" s="365"/>
      <c r="E42" s="365"/>
      <c r="F42" s="365"/>
      <c r="G42" s="365"/>
      <c r="H42" s="365"/>
      <c r="I42" s="25"/>
      <c r="J42" s="25"/>
    </row>
    <row r="43" spans="1:11" ht="12.75" customHeight="1">
      <c r="A43" s="108" t="s">
        <v>763</v>
      </c>
      <c r="B43" s="365"/>
      <c r="C43" s="365"/>
      <c r="D43" s="365"/>
      <c r="E43" s="365"/>
      <c r="F43" s="365"/>
      <c r="G43" s="365"/>
      <c r="H43" s="365"/>
      <c r="I43" s="25"/>
      <c r="J43" s="25"/>
    </row>
    <row r="44" spans="1:11" ht="15.75" customHeight="1">
      <c r="A44" s="767" t="s">
        <v>766</v>
      </c>
    </row>
    <row r="45" spans="1:11" ht="15.75" customHeight="1">
      <c r="A45" s="767" t="s">
        <v>3</v>
      </c>
    </row>
  </sheetData>
  <sheetProtection algorithmName="SHA-512" hashValue="Xn0vyiCIuFFCTgsCRsbr4y/rEtvDwCXsJZKfpVY318TAY7p2y9QNeZdXNGyS7EtuGH48ZCrB1XhWhvXpFG9cfQ==" saltValue="6ZkGMX5KBGckULC7HGkxJw==" spinCount="100000" sheet="1" objects="1" scenarios="1"/>
  <mergeCells count="4">
    <mergeCell ref="E4:J6"/>
    <mergeCell ref="E7:J7"/>
    <mergeCell ref="E8:J8"/>
    <mergeCell ref="E9:J9"/>
  </mergeCells>
  <pageMargins left="0.74791666666666667" right="0.74791666666666667" top="0.98402777777777772" bottom="0.98402777777777772" header="0.51180555555555551" footer="0.51180555555555551"/>
  <pageSetup scale="96" firstPageNumber="0" orientation="portrait" horizontalDpi="300" verticalDpi="3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7030A0"/>
    <pageSetUpPr fitToPage="1"/>
  </sheetPr>
  <dimension ref="A1:P46"/>
  <sheetViews>
    <sheetView topLeftCell="A4" workbookViewId="0">
      <selection activeCell="I27" sqref="I27"/>
    </sheetView>
  </sheetViews>
  <sheetFormatPr defaultColWidth="17.28515625" defaultRowHeight="15.75" customHeight="1"/>
  <cols>
    <col min="1" max="1" width="22" style="167" customWidth="1"/>
    <col min="2" max="2" width="7.85546875" style="167" customWidth="1"/>
    <col min="3" max="3" width="1.7109375" style="167" customWidth="1"/>
    <col min="4" max="4" width="2.28515625" style="167" customWidth="1"/>
    <col min="5" max="5" width="22.28515625" style="167" customWidth="1"/>
    <col min="6" max="6" width="7.42578125" style="167" customWidth="1"/>
    <col min="7" max="7" width="22.28515625" style="167" customWidth="1"/>
    <col min="8" max="8" width="6.85546875" style="167" customWidth="1"/>
    <col min="9" max="9" width="22.28515625" style="167" customWidth="1"/>
    <col min="10" max="10" width="6.85546875" style="167" customWidth="1"/>
    <col min="11" max="11" width="22.28515625" style="167" customWidth="1"/>
    <col min="12" max="12" width="6.28515625" style="167" customWidth="1"/>
    <col min="13" max="13" width="17.140625" style="167" customWidth="1"/>
    <col min="14" max="15" width="0" style="167" hidden="1" customWidth="1"/>
    <col min="16" max="16384" width="17.28515625" style="167"/>
  </cols>
  <sheetData>
    <row r="1" spans="1:15" ht="12.75" customHeight="1">
      <c r="A1" s="388" t="s">
        <v>153</v>
      </c>
      <c r="B1" s="389"/>
      <c r="C1" s="389"/>
      <c r="D1" s="389"/>
      <c r="E1" s="390"/>
      <c r="F1" s="391"/>
      <c r="G1" s="391"/>
      <c r="H1" s="391"/>
      <c r="I1" s="391"/>
      <c r="J1" s="391"/>
      <c r="K1" s="390"/>
      <c r="L1" s="389"/>
      <c r="M1" s="392"/>
      <c r="N1" s="137"/>
      <c r="O1" s="25"/>
    </row>
    <row r="2" spans="1:15" ht="12.75" customHeight="1">
      <c r="A2" s="393"/>
      <c r="B2" s="25"/>
      <c r="C2" s="25"/>
      <c r="D2" s="24"/>
      <c r="E2" s="25"/>
      <c r="F2" s="25"/>
      <c r="G2" s="25"/>
      <c r="H2" s="25"/>
      <c r="I2" s="25"/>
      <c r="J2" s="25"/>
      <c r="K2" s="25"/>
      <c r="L2" s="25"/>
      <c r="M2" s="394"/>
      <c r="N2" s="137"/>
      <c r="O2" s="25"/>
    </row>
    <row r="3" spans="1:15" ht="12.75" customHeight="1">
      <c r="A3" s="395"/>
      <c r="B3" s="396" t="s">
        <v>154</v>
      </c>
      <c r="C3" s="397"/>
      <c r="D3" s="398"/>
      <c r="E3" s="137"/>
      <c r="F3" s="25"/>
      <c r="G3" s="25"/>
      <c r="H3" s="25"/>
      <c r="I3" s="25"/>
      <c r="J3" s="25"/>
      <c r="K3" s="25"/>
      <c r="L3" s="25"/>
      <c r="M3" s="394"/>
      <c r="N3" s="137"/>
      <c r="O3" s="25"/>
    </row>
    <row r="4" spans="1:15" ht="12.75" customHeight="1">
      <c r="A4" s="395"/>
      <c r="B4" s="24"/>
      <c r="C4" s="397"/>
      <c r="D4" s="1310" t="s">
        <v>155</v>
      </c>
      <c r="E4" s="137"/>
      <c r="F4" s="1311"/>
      <c r="G4" s="1311"/>
      <c r="H4" s="1311"/>
      <c r="I4" s="1311"/>
      <c r="J4" s="1311"/>
      <c r="K4" s="1311"/>
      <c r="L4" s="25"/>
      <c r="M4" s="394"/>
      <c r="N4" s="137"/>
      <c r="O4" s="25"/>
    </row>
    <row r="5" spans="1:15" ht="12.75" customHeight="1">
      <c r="A5" s="399" t="s">
        <v>156</v>
      </c>
      <c r="B5" s="111">
        <v>12.9</v>
      </c>
      <c r="C5" s="400"/>
      <c r="D5" s="1310"/>
      <c r="E5" s="137"/>
      <c r="F5" s="1311"/>
      <c r="G5" s="1311"/>
      <c r="H5" s="1311"/>
      <c r="I5" s="1311"/>
      <c r="J5" s="1311"/>
      <c r="K5" s="1311"/>
      <c r="L5" s="25"/>
      <c r="M5" s="394"/>
      <c r="N5" s="137"/>
      <c r="O5" s="25"/>
    </row>
    <row r="6" spans="1:15" ht="12.75" customHeight="1">
      <c r="A6" s="395"/>
      <c r="B6" s="48"/>
      <c r="C6" s="397"/>
      <c r="D6" s="1310"/>
      <c r="E6" s="137"/>
      <c r="F6" s="24"/>
      <c r="G6" s="25"/>
      <c r="H6" s="24"/>
      <c r="I6" s="25"/>
      <c r="J6" s="24"/>
      <c r="K6" s="25"/>
      <c r="L6" s="24"/>
      <c r="M6" s="394"/>
      <c r="N6" s="401" t="s">
        <v>4</v>
      </c>
      <c r="O6" s="402" t="s">
        <v>5</v>
      </c>
    </row>
    <row r="7" spans="1:15" ht="12.75" customHeight="1">
      <c r="A7" s="399" t="s">
        <v>157</v>
      </c>
      <c r="B7" s="111">
        <v>20</v>
      </c>
      <c r="C7" s="400"/>
      <c r="D7" s="1310"/>
      <c r="E7" s="399" t="s">
        <v>158</v>
      </c>
      <c r="F7" s="111">
        <v>500000</v>
      </c>
      <c r="G7" s="399" t="s">
        <v>159</v>
      </c>
      <c r="H7" s="111">
        <v>250000</v>
      </c>
      <c r="I7" s="399" t="s">
        <v>160</v>
      </c>
      <c r="J7" s="111">
        <v>250000</v>
      </c>
      <c r="K7" s="399" t="s">
        <v>161</v>
      </c>
      <c r="L7" s="111">
        <v>250000</v>
      </c>
      <c r="M7" s="400"/>
      <c r="N7" s="401" t="s">
        <v>162</v>
      </c>
      <c r="O7" s="402">
        <v>4110</v>
      </c>
    </row>
    <row r="8" spans="1:15" ht="12.75" customHeight="1">
      <c r="A8" s="395"/>
      <c r="B8" s="48"/>
      <c r="C8" s="397"/>
      <c r="D8" s="1310"/>
      <c r="E8" s="399" t="s">
        <v>163</v>
      </c>
      <c r="F8" s="111">
        <v>250</v>
      </c>
      <c r="G8" s="399" t="s">
        <v>164</v>
      </c>
      <c r="H8" s="111">
        <v>350</v>
      </c>
      <c r="I8" s="399" t="s">
        <v>165</v>
      </c>
      <c r="J8" s="111">
        <v>3000</v>
      </c>
      <c r="K8" s="399" t="s">
        <v>166</v>
      </c>
      <c r="L8" s="111">
        <v>2500</v>
      </c>
      <c r="M8" s="400"/>
      <c r="N8" s="401" t="s">
        <v>167</v>
      </c>
      <c r="O8" s="402">
        <v>6530</v>
      </c>
    </row>
    <row r="9" spans="1:15" ht="12.75" customHeight="1">
      <c r="A9" s="399" t="s">
        <v>168</v>
      </c>
      <c r="B9" s="111">
        <v>470</v>
      </c>
      <c r="C9" s="400"/>
      <c r="D9" s="1310"/>
      <c r="E9" s="399" t="s">
        <v>169</v>
      </c>
      <c r="F9" s="111">
        <v>8</v>
      </c>
      <c r="G9" s="399" t="s">
        <v>170</v>
      </c>
      <c r="H9" s="111">
        <v>11.5</v>
      </c>
      <c r="I9" s="399" t="s">
        <v>171</v>
      </c>
      <c r="J9" s="111">
        <v>8</v>
      </c>
      <c r="K9" s="399" t="s">
        <v>172</v>
      </c>
      <c r="L9" s="111">
        <v>8</v>
      </c>
      <c r="M9" s="400"/>
      <c r="N9" s="401" t="s">
        <v>173</v>
      </c>
      <c r="O9" s="402">
        <v>10380</v>
      </c>
    </row>
    <row r="10" spans="1:15" ht="12.75" customHeight="1">
      <c r="A10" s="395"/>
      <c r="B10" s="48"/>
      <c r="C10" s="397"/>
      <c r="D10" s="1310"/>
      <c r="E10" s="399" t="s">
        <v>174</v>
      </c>
      <c r="F10" s="111">
        <v>2</v>
      </c>
      <c r="G10" s="399" t="s">
        <v>175</v>
      </c>
      <c r="H10" s="111">
        <v>0</v>
      </c>
      <c r="I10" s="399" t="s">
        <v>176</v>
      </c>
      <c r="J10" s="111">
        <v>0</v>
      </c>
      <c r="K10" s="399" t="s">
        <v>177</v>
      </c>
      <c r="L10" s="111">
        <v>0</v>
      </c>
      <c r="M10" s="400"/>
      <c r="N10" s="137"/>
      <c r="O10" s="25"/>
    </row>
    <row r="11" spans="1:15" ht="12.75" customHeight="1">
      <c r="A11" s="399" t="s">
        <v>128</v>
      </c>
      <c r="B11" s="111">
        <v>150</v>
      </c>
      <c r="C11" s="400"/>
      <c r="D11" s="1310"/>
      <c r="E11" s="395" t="s">
        <v>178</v>
      </c>
      <c r="F11" s="389">
        <f>(F9+F10)+H11</f>
        <v>37.5</v>
      </c>
      <c r="G11" s="403" t="s">
        <v>179</v>
      </c>
      <c r="H11" s="389">
        <f>(H9+H10)+J11</f>
        <v>27.5</v>
      </c>
      <c r="I11" s="403" t="s">
        <v>180</v>
      </c>
      <c r="J11" s="389">
        <f>(J9+J10)+L11</f>
        <v>16</v>
      </c>
      <c r="K11" s="403" t="s">
        <v>181</v>
      </c>
      <c r="L11" s="389">
        <f>L9+L10</f>
        <v>8</v>
      </c>
      <c r="M11" s="394"/>
      <c r="N11" s="401" t="s">
        <v>182</v>
      </c>
      <c r="O11" s="402">
        <v>16510</v>
      </c>
    </row>
    <row r="12" spans="1:15" ht="12.75" customHeight="1">
      <c r="A12" s="395"/>
      <c r="B12" s="48"/>
      <c r="C12" s="397"/>
      <c r="D12" s="1310"/>
      <c r="E12" s="395" t="s">
        <v>183</v>
      </c>
      <c r="F12" s="404">
        <f>B9-((((B27*B5)*F8)*F11)/F7)</f>
        <v>469.5810725</v>
      </c>
      <c r="G12" s="403" t="s">
        <v>184</v>
      </c>
      <c r="H12" s="404">
        <f>F12-((((B27*B5)*H8)*H11)/H7)</f>
        <v>468.72087470000002</v>
      </c>
      <c r="I12" s="403" t="s">
        <v>185</v>
      </c>
      <c r="J12" s="404">
        <f>H12-((((B27*B5)*J8)*J11)/J7)</f>
        <v>464.43105710000003</v>
      </c>
      <c r="K12" s="403" t="s">
        <v>186</v>
      </c>
      <c r="L12" s="404">
        <f>J12-((((B27*B5)*L8)*L11)/L7)</f>
        <v>462.64363310000005</v>
      </c>
      <c r="M12" s="394"/>
      <c r="N12" s="401" t="s">
        <v>187</v>
      </c>
      <c r="O12" s="402">
        <v>26240</v>
      </c>
    </row>
    <row r="13" spans="1:15" ht="12.75" customHeight="1">
      <c r="A13" s="399" t="s">
        <v>188</v>
      </c>
      <c r="B13" s="111">
        <v>1.3</v>
      </c>
      <c r="C13" s="400"/>
      <c r="D13" s="1310"/>
      <c r="E13" s="395" t="s">
        <v>189</v>
      </c>
      <c r="F13" s="405">
        <f>(B9-F12)/B9</f>
        <v>8.9133510638296856E-4</v>
      </c>
      <c r="G13" s="403" t="s">
        <v>189</v>
      </c>
      <c r="H13" s="405">
        <f>(B9-H12)/B9</f>
        <v>2.72154319148931E-3</v>
      </c>
      <c r="I13" s="403" t="s">
        <v>189</v>
      </c>
      <c r="J13" s="405">
        <f>(B9-J12)/B9</f>
        <v>1.1848814680850995E-2</v>
      </c>
      <c r="K13" s="403" t="s">
        <v>189</v>
      </c>
      <c r="L13" s="405">
        <f>(B9-L12)/B9</f>
        <v>1.565184446808501E-2</v>
      </c>
      <c r="M13" s="394"/>
      <c r="N13" s="401" t="s">
        <v>190</v>
      </c>
      <c r="O13" s="402">
        <v>41740</v>
      </c>
    </row>
    <row r="14" spans="1:15" ht="12.75" customHeight="1">
      <c r="A14" s="395"/>
      <c r="B14" s="29"/>
      <c r="C14" s="397"/>
      <c r="D14" s="1310"/>
      <c r="E14" s="406"/>
      <c r="F14" s="24"/>
      <c r="G14" s="24"/>
      <c r="H14" s="24"/>
      <c r="I14" s="24"/>
      <c r="J14" s="24"/>
      <c r="K14" s="24"/>
      <c r="L14" s="24"/>
      <c r="M14" s="394"/>
      <c r="N14" s="401" t="s">
        <v>51</v>
      </c>
      <c r="O14" s="407">
        <v>52620</v>
      </c>
    </row>
    <row r="15" spans="1:15" ht="12.75" customHeight="1">
      <c r="A15" s="408"/>
      <c r="B15" s="396" t="s">
        <v>191</v>
      </c>
      <c r="C15" s="397"/>
      <c r="D15" s="398"/>
      <c r="E15" s="409" t="s">
        <v>192</v>
      </c>
      <c r="F15" s="398"/>
      <c r="G15" s="409" t="s">
        <v>193</v>
      </c>
      <c r="H15" s="410"/>
      <c r="I15" s="409" t="s">
        <v>194</v>
      </c>
      <c r="J15" s="398"/>
      <c r="K15" s="409" t="s">
        <v>195</v>
      </c>
      <c r="L15" s="398"/>
      <c r="M15" s="400"/>
      <c r="N15" s="401" t="s">
        <v>52</v>
      </c>
      <c r="O15" s="407">
        <v>83690</v>
      </c>
    </row>
    <row r="16" spans="1:15" ht="12.75" customHeight="1">
      <c r="A16" s="408"/>
      <c r="B16" s="25"/>
      <c r="C16" s="25"/>
      <c r="D16" s="29"/>
      <c r="E16" s="29"/>
      <c r="F16" s="411" t="s">
        <v>196</v>
      </c>
      <c r="G16" s="29"/>
      <c r="H16" s="411" t="s">
        <v>197</v>
      </c>
      <c r="I16" s="29"/>
      <c r="J16" s="411" t="s">
        <v>198</v>
      </c>
      <c r="K16" s="29"/>
      <c r="L16" s="411" t="s">
        <v>199</v>
      </c>
      <c r="M16" s="412"/>
      <c r="N16" s="413" t="s">
        <v>200</v>
      </c>
      <c r="O16" s="338">
        <v>105600</v>
      </c>
    </row>
    <row r="17" spans="1:15" ht="12.75" customHeight="1">
      <c r="A17" s="395"/>
      <c r="B17" s="25"/>
      <c r="C17" s="25"/>
      <c r="D17" s="25"/>
      <c r="E17" s="25"/>
      <c r="F17" s="25"/>
      <c r="G17" s="25"/>
      <c r="H17" s="25"/>
      <c r="I17" s="25"/>
      <c r="J17" s="25"/>
      <c r="K17" s="25"/>
      <c r="L17" s="25"/>
      <c r="M17" s="394"/>
      <c r="N17" s="401" t="s">
        <v>201</v>
      </c>
      <c r="O17" s="402">
        <v>133100</v>
      </c>
    </row>
    <row r="18" spans="1:15" ht="12.75" customHeight="1">
      <c r="A18" s="414" t="s">
        <v>202</v>
      </c>
      <c r="B18" s="407">
        <f>B33+B35</f>
        <v>13562.277922193334</v>
      </c>
      <c r="C18" s="25"/>
      <c r="D18" s="25"/>
      <c r="E18" s="415" t="s">
        <v>202</v>
      </c>
      <c r="F18" s="407">
        <f>F33+F35</f>
        <v>8199.5010761287376</v>
      </c>
      <c r="G18" s="415" t="s">
        <v>202</v>
      </c>
      <c r="H18" s="407">
        <f>H33+H35</f>
        <v>5305.5084015898801</v>
      </c>
      <c r="I18" s="415" t="s">
        <v>202</v>
      </c>
      <c r="J18" s="407">
        <f>J33+J35</f>
        <v>1399.2412775802841</v>
      </c>
      <c r="K18" s="415" t="s">
        <v>202</v>
      </c>
      <c r="L18" s="407">
        <f>L33+L35</f>
        <v>911.96075088203975</v>
      </c>
      <c r="M18" s="416"/>
      <c r="N18" s="401" t="s">
        <v>203</v>
      </c>
      <c r="O18" s="402">
        <v>167800</v>
      </c>
    </row>
    <row r="19" spans="1:15" ht="12.75" customHeight="1">
      <c r="A19" s="414"/>
      <c r="B19" s="24"/>
      <c r="C19" s="25"/>
      <c r="D19" s="25"/>
      <c r="E19" s="25"/>
      <c r="F19" s="24"/>
      <c r="G19" s="25"/>
      <c r="H19" s="24"/>
      <c r="I19" s="25"/>
      <c r="J19" s="24"/>
      <c r="K19" s="25"/>
      <c r="L19" s="24"/>
      <c r="M19" s="416"/>
      <c r="N19" s="401" t="s">
        <v>204</v>
      </c>
      <c r="O19" s="402">
        <v>211600</v>
      </c>
    </row>
    <row r="20" spans="1:15" ht="12.75" customHeight="1">
      <c r="A20" s="399" t="s">
        <v>205</v>
      </c>
      <c r="B20" s="111">
        <v>18593</v>
      </c>
      <c r="C20" s="137"/>
      <c r="D20" s="25"/>
      <c r="E20" s="417" t="s">
        <v>205</v>
      </c>
      <c r="F20" s="111">
        <v>18593</v>
      </c>
      <c r="G20" s="399" t="s">
        <v>205</v>
      </c>
      <c r="H20" s="111">
        <v>18593</v>
      </c>
      <c r="I20" s="399" t="s">
        <v>205</v>
      </c>
      <c r="J20" s="111">
        <v>18593</v>
      </c>
      <c r="K20" s="399" t="s">
        <v>205</v>
      </c>
      <c r="L20" s="111">
        <v>18593</v>
      </c>
      <c r="M20" s="400"/>
      <c r="N20" s="401" t="s">
        <v>53</v>
      </c>
      <c r="O20" s="407">
        <v>250000</v>
      </c>
    </row>
    <row r="21" spans="1:15" ht="12.75" customHeight="1">
      <c r="A21" s="399" t="s">
        <v>206</v>
      </c>
      <c r="B21" s="111">
        <v>1</v>
      </c>
      <c r="C21" s="137"/>
      <c r="D21" s="25"/>
      <c r="E21" s="418" t="s">
        <v>206</v>
      </c>
      <c r="F21" s="111">
        <v>1</v>
      </c>
      <c r="G21" s="399" t="s">
        <v>206</v>
      </c>
      <c r="H21" s="111">
        <v>1</v>
      </c>
      <c r="I21" s="399" t="s">
        <v>206</v>
      </c>
      <c r="J21" s="111">
        <v>1</v>
      </c>
      <c r="K21" s="399" t="s">
        <v>206</v>
      </c>
      <c r="L21" s="111">
        <v>1</v>
      </c>
      <c r="M21" s="400"/>
      <c r="N21" s="137"/>
      <c r="O21" s="25"/>
    </row>
    <row r="22" spans="1:15" ht="12.75" customHeight="1">
      <c r="A22" s="395"/>
      <c r="B22" s="29"/>
      <c r="C22" s="25"/>
      <c r="D22" s="25"/>
      <c r="E22" s="25"/>
      <c r="F22" s="29"/>
      <c r="G22" s="25"/>
      <c r="H22" s="29"/>
      <c r="I22" s="25"/>
      <c r="J22" s="29"/>
      <c r="K22" s="25"/>
      <c r="L22" s="29"/>
      <c r="M22" s="394"/>
      <c r="N22" s="137"/>
      <c r="O22" s="25"/>
    </row>
    <row r="23" spans="1:15" ht="12.75" customHeight="1">
      <c r="A23" s="747"/>
      <c r="B23" s="422"/>
      <c r="C23" s="422"/>
      <c r="D23" s="422"/>
      <c r="E23" s="422"/>
      <c r="F23" s="422"/>
      <c r="G23" s="422"/>
      <c r="H23" s="422"/>
      <c r="I23" s="402"/>
      <c r="J23" s="402"/>
      <c r="K23" s="402"/>
      <c r="L23" s="748"/>
      <c r="M23" s="749"/>
      <c r="N23" s="137"/>
      <c r="O23" s="25"/>
    </row>
    <row r="24" spans="1:15" ht="12.75" customHeight="1">
      <c r="A24" s="750"/>
      <c r="B24" s="751"/>
      <c r="C24" s="751"/>
      <c r="D24" s="751"/>
      <c r="E24" s="752"/>
      <c r="F24" s="751"/>
      <c r="G24" s="752"/>
      <c r="H24" s="751"/>
      <c r="I24" s="752"/>
      <c r="J24" s="751"/>
      <c r="K24" s="752"/>
      <c r="L24" s="751"/>
      <c r="M24" s="753"/>
      <c r="N24" s="25"/>
      <c r="O24" s="25"/>
    </row>
    <row r="25" spans="1:15" ht="12.75" customHeight="1">
      <c r="A25" s="754" t="s">
        <v>207</v>
      </c>
      <c r="B25" s="25"/>
      <c r="C25" s="25"/>
      <c r="D25" s="25"/>
      <c r="E25" s="25"/>
      <c r="F25" s="25"/>
      <c r="G25" s="25"/>
      <c r="H25" s="25"/>
      <c r="I25" s="25"/>
      <c r="J25" s="25"/>
      <c r="K25" s="25"/>
      <c r="L25" s="25"/>
      <c r="M25" s="755"/>
      <c r="N25" s="25"/>
      <c r="O25" s="25"/>
    </row>
    <row r="26" spans="1:15" ht="12.75" customHeight="1">
      <c r="A26" s="754"/>
      <c r="B26" s="25"/>
      <c r="C26" s="25"/>
      <c r="D26" s="25"/>
      <c r="E26" s="25"/>
      <c r="F26" s="25"/>
      <c r="G26" s="25"/>
      <c r="H26" s="25"/>
      <c r="I26" s="25"/>
      <c r="J26" s="25"/>
      <c r="K26" s="25"/>
      <c r="L26" s="25"/>
      <c r="M26" s="755"/>
      <c r="N26" s="25"/>
      <c r="O26" s="25"/>
    </row>
    <row r="27" spans="1:15" ht="12.75" customHeight="1">
      <c r="A27" s="756" t="s">
        <v>208</v>
      </c>
      <c r="B27" s="402">
        <v>1.732</v>
      </c>
      <c r="C27" s="25"/>
      <c r="D27" s="25"/>
      <c r="E27" s="25"/>
      <c r="F27" s="25"/>
      <c r="G27" s="25"/>
      <c r="H27" s="25"/>
      <c r="I27" s="25"/>
      <c r="J27" s="25"/>
      <c r="K27" s="25"/>
      <c r="L27" s="25"/>
      <c r="M27" s="757"/>
      <c r="N27" s="25"/>
      <c r="O27" s="25"/>
    </row>
    <row r="28" spans="1:15" ht="12.75" customHeight="1">
      <c r="A28" s="756" t="s">
        <v>209</v>
      </c>
      <c r="B28" s="407">
        <f>(B11*1000)/(B9*1.732)</f>
        <v>184.26612942852933</v>
      </c>
      <c r="C28" s="25"/>
      <c r="D28" s="25"/>
      <c r="E28" s="25"/>
      <c r="F28" s="25"/>
      <c r="G28" s="25"/>
      <c r="H28" s="25"/>
      <c r="I28" s="25"/>
      <c r="J28" s="25"/>
      <c r="K28" s="25"/>
      <c r="L28" s="25"/>
      <c r="M28" s="757"/>
      <c r="N28" s="25"/>
      <c r="O28" s="25"/>
    </row>
    <row r="29" spans="1:15" ht="12.75" customHeight="1">
      <c r="A29" s="758" t="s">
        <v>210</v>
      </c>
      <c r="B29" s="419">
        <f>100/B13</f>
        <v>76.92307692307692</v>
      </c>
      <c r="C29" s="25"/>
      <c r="D29" s="25"/>
      <c r="E29" s="25"/>
      <c r="F29" s="25"/>
      <c r="G29" s="25"/>
      <c r="H29" s="25"/>
      <c r="I29" s="25"/>
      <c r="J29" s="25"/>
      <c r="K29" s="25"/>
      <c r="L29" s="25"/>
      <c r="M29" s="757"/>
      <c r="N29" s="25"/>
      <c r="O29" s="25"/>
    </row>
    <row r="30" spans="1:15" ht="12.75" customHeight="1">
      <c r="A30" s="759" t="s">
        <v>211</v>
      </c>
      <c r="B30" s="407">
        <f>B28*B29</f>
        <v>14174.317648348409</v>
      </c>
      <c r="C30" s="25"/>
      <c r="D30" s="25"/>
      <c r="E30" s="415" t="s">
        <v>212</v>
      </c>
      <c r="F30" s="407">
        <f>B33</f>
        <v>13420.277922193334</v>
      </c>
      <c r="G30" s="415" t="s">
        <v>212</v>
      </c>
      <c r="H30" s="407">
        <f>F33</f>
        <v>8057.5010761287385</v>
      </c>
      <c r="I30" s="415" t="s">
        <v>212</v>
      </c>
      <c r="J30" s="407">
        <f>H33</f>
        <v>5163.5084015898801</v>
      </c>
      <c r="K30" s="415" t="s">
        <v>212</v>
      </c>
      <c r="L30" s="407">
        <f>J33</f>
        <v>1257.2412775802841</v>
      </c>
      <c r="M30" s="760"/>
      <c r="N30" s="25"/>
      <c r="O30" s="25"/>
    </row>
    <row r="31" spans="1:15" ht="12.75" customHeight="1">
      <c r="A31" s="761" t="s">
        <v>213</v>
      </c>
      <c r="B31" s="420">
        <f>((1.732*B7)*B30)/((B21*B20)*B9)</f>
        <v>5.6186595428706174E-2</v>
      </c>
      <c r="C31" s="25"/>
      <c r="D31" s="25"/>
      <c r="E31" s="421" t="s">
        <v>213</v>
      </c>
      <c r="F31" s="420">
        <f>((1.732*F8)*F30)/((F21*F20)*F12)</f>
        <v>0.66556328015300292</v>
      </c>
      <c r="G31" s="421" t="s">
        <v>213</v>
      </c>
      <c r="H31" s="420">
        <f>((1.732*H8)*H30)/((H21*H20)*H12)</f>
        <v>0.56047021704230771</v>
      </c>
      <c r="I31" s="421" t="s">
        <v>213</v>
      </c>
      <c r="J31" s="420">
        <f>((1.732*J8)*J30)/((J21*J20)*J12)</f>
        <v>3.1070146945283956</v>
      </c>
      <c r="K31" s="421" t="s">
        <v>213</v>
      </c>
      <c r="L31" s="420">
        <f>((1.732*L8)*L30)/((L21*L20)*L12)</f>
        <v>0.63286411176158419</v>
      </c>
      <c r="M31" s="762"/>
      <c r="N31" s="25"/>
      <c r="O31" s="25"/>
    </row>
    <row r="32" spans="1:15" ht="12.75" customHeight="1">
      <c r="A32" s="761" t="s">
        <v>214</v>
      </c>
      <c r="B32" s="420">
        <f>1/(1+B31)</f>
        <v>0.94680239678112932</v>
      </c>
      <c r="C32" s="25"/>
      <c r="D32" s="25"/>
      <c r="E32" s="421" t="s">
        <v>214</v>
      </c>
      <c r="F32" s="420">
        <f>1/(1+F31)</f>
        <v>0.60039748229087841</v>
      </c>
      <c r="G32" s="421" t="s">
        <v>214</v>
      </c>
      <c r="H32" s="420">
        <f>1/(1+H31)</f>
        <v>0.64083248054255426</v>
      </c>
      <c r="I32" s="421" t="s">
        <v>214</v>
      </c>
      <c r="J32" s="420">
        <f>1/(1+J31)</f>
        <v>0.24348585879964305</v>
      </c>
      <c r="K32" s="421" t="s">
        <v>214</v>
      </c>
      <c r="L32" s="420">
        <f>1/(1+L31)</f>
        <v>0.61242083330569941</v>
      </c>
      <c r="M32" s="762"/>
      <c r="N32" s="25"/>
      <c r="O32" s="25"/>
    </row>
    <row r="33" spans="1:16" ht="12.75" customHeight="1">
      <c r="A33" s="759" t="s">
        <v>215</v>
      </c>
      <c r="B33" s="407">
        <f>B30*B32</f>
        <v>13420.277922193334</v>
      </c>
      <c r="C33" s="25"/>
      <c r="D33" s="25"/>
      <c r="E33" s="415" t="s">
        <v>215</v>
      </c>
      <c r="F33" s="407">
        <f>F30*F32</f>
        <v>8057.5010761287385</v>
      </c>
      <c r="G33" s="415" t="s">
        <v>215</v>
      </c>
      <c r="H33" s="407">
        <f>H30*H32</f>
        <v>5163.5084015898801</v>
      </c>
      <c r="I33" s="415" t="s">
        <v>215</v>
      </c>
      <c r="J33" s="407">
        <f>J30*J32</f>
        <v>1257.2412775802841</v>
      </c>
      <c r="K33" s="415" t="s">
        <v>215</v>
      </c>
      <c r="L33" s="407">
        <f>L30*L32</f>
        <v>769.96075088203975</v>
      </c>
      <c r="M33" s="760"/>
      <c r="N33" s="25"/>
      <c r="O33" s="25"/>
    </row>
    <row r="34" spans="1:16" ht="12.75" customHeight="1">
      <c r="A34" s="759" t="s">
        <v>216</v>
      </c>
      <c r="B34" s="407">
        <f>((F9+H9)+J9)+L9</f>
        <v>35.5</v>
      </c>
      <c r="C34" s="25"/>
      <c r="D34" s="25"/>
      <c r="E34" s="415" t="s">
        <v>216</v>
      </c>
      <c r="F34" s="407">
        <f>B34</f>
        <v>35.5</v>
      </c>
      <c r="G34" s="415" t="s">
        <v>216</v>
      </c>
      <c r="H34" s="407">
        <f>B34</f>
        <v>35.5</v>
      </c>
      <c r="I34" s="415" t="s">
        <v>216</v>
      </c>
      <c r="J34" s="407">
        <f>B34</f>
        <v>35.5</v>
      </c>
      <c r="K34" s="415" t="s">
        <v>216</v>
      </c>
      <c r="L34" s="407">
        <f>B34</f>
        <v>35.5</v>
      </c>
      <c r="M34" s="760"/>
      <c r="N34" s="25"/>
      <c r="O34" s="25"/>
    </row>
    <row r="35" spans="1:16" ht="12.75" customHeight="1">
      <c r="A35" s="759" t="s">
        <v>217</v>
      </c>
      <c r="B35" s="407">
        <f>4*B34</f>
        <v>142</v>
      </c>
      <c r="C35" s="25"/>
      <c r="D35" s="25"/>
      <c r="E35" s="415" t="s">
        <v>217</v>
      </c>
      <c r="F35" s="407">
        <f>B35</f>
        <v>142</v>
      </c>
      <c r="G35" s="415" t="s">
        <v>217</v>
      </c>
      <c r="H35" s="407">
        <f>B35</f>
        <v>142</v>
      </c>
      <c r="I35" s="415" t="s">
        <v>217</v>
      </c>
      <c r="J35" s="407">
        <f>B35</f>
        <v>142</v>
      </c>
      <c r="K35" s="415" t="s">
        <v>217</v>
      </c>
      <c r="L35" s="407">
        <f>B35</f>
        <v>142</v>
      </c>
      <c r="M35" s="760"/>
      <c r="N35" s="25"/>
      <c r="O35" s="25"/>
    </row>
    <row r="36" spans="1:16" ht="12.75" customHeight="1">
      <c r="A36" s="763"/>
      <c r="B36" s="764"/>
      <c r="C36" s="764"/>
      <c r="D36" s="764"/>
      <c r="E36" s="765"/>
      <c r="F36" s="764"/>
      <c r="G36" s="765"/>
      <c r="H36" s="764"/>
      <c r="I36" s="765"/>
      <c r="J36" s="764"/>
      <c r="K36" s="765"/>
      <c r="L36" s="764"/>
      <c r="M36" s="766"/>
      <c r="N36" s="25"/>
      <c r="O36" s="25"/>
    </row>
    <row r="37" spans="1:16" ht="12.75" customHeight="1">
      <c r="A37" s="403"/>
      <c r="B37" s="402"/>
      <c r="C37" s="402"/>
      <c r="D37" s="402"/>
      <c r="E37" s="403"/>
      <c r="F37" s="402"/>
      <c r="G37" s="403"/>
      <c r="H37" s="402"/>
      <c r="I37" s="403"/>
      <c r="J37" s="402"/>
      <c r="K37" s="403"/>
      <c r="L37" s="402"/>
      <c r="M37" s="402"/>
      <c r="N37" s="25"/>
      <c r="O37" s="25"/>
      <c r="P37" s="746"/>
    </row>
    <row r="38" spans="1:16" ht="12.75" customHeight="1">
      <c r="A38" s="379" t="s">
        <v>666</v>
      </c>
      <c r="B38" s="25"/>
      <c r="C38" s="25"/>
      <c r="D38" s="25"/>
      <c r="E38" s="25"/>
      <c r="F38" s="25"/>
      <c r="G38" s="25"/>
      <c r="H38" s="25"/>
      <c r="I38" s="25"/>
      <c r="J38" s="25"/>
      <c r="K38" s="25"/>
      <c r="L38" s="25"/>
      <c r="M38" s="25"/>
      <c r="N38" s="25"/>
      <c r="O38" s="25"/>
      <c r="P38" s="746"/>
    </row>
    <row r="39" spans="1:16" ht="12.75" customHeight="1">
      <c r="A39" s="380" t="s">
        <v>762</v>
      </c>
      <c r="B39" s="387"/>
      <c r="C39" s="387"/>
      <c r="D39" s="387"/>
      <c r="E39" s="387"/>
      <c r="F39" s="387"/>
      <c r="G39" s="25"/>
      <c r="H39" s="25"/>
      <c r="I39" s="25"/>
      <c r="J39" s="25"/>
      <c r="K39" s="25"/>
      <c r="L39" s="25"/>
      <c r="M39" s="746"/>
      <c r="N39" s="25"/>
      <c r="O39" s="25"/>
      <c r="P39" s="746"/>
    </row>
    <row r="40" spans="1:16" ht="12.75" customHeight="1">
      <c r="A40" s="136" t="s">
        <v>763</v>
      </c>
      <c r="B40" s="387"/>
      <c r="C40" s="387"/>
      <c r="D40" s="387"/>
      <c r="E40" s="387"/>
      <c r="F40" s="387"/>
      <c r="G40" s="25"/>
      <c r="H40" s="25"/>
      <c r="I40" s="25"/>
      <c r="J40" s="25"/>
      <c r="K40" s="25"/>
      <c r="L40" s="25"/>
      <c r="M40" s="746"/>
      <c r="N40" s="25"/>
      <c r="O40" s="25"/>
      <c r="P40" s="746"/>
    </row>
    <row r="41" spans="1:16" ht="12.75" customHeight="1">
      <c r="A41" s="379" t="s">
        <v>766</v>
      </c>
      <c r="B41" s="387"/>
      <c r="C41" s="387"/>
      <c r="D41" s="387"/>
      <c r="E41" s="387"/>
      <c r="F41" s="387"/>
      <c r="G41" s="25"/>
      <c r="H41" s="25"/>
      <c r="I41" s="25"/>
      <c r="J41" s="25"/>
      <c r="K41" s="25"/>
      <c r="L41" s="25"/>
      <c r="M41" s="746"/>
      <c r="N41" s="25"/>
      <c r="O41" s="25"/>
      <c r="P41" s="746"/>
    </row>
    <row r="42" spans="1:16" ht="12.75" customHeight="1">
      <c r="A42" s="379" t="s">
        <v>3</v>
      </c>
      <c r="B42" s="387"/>
      <c r="C42" s="387"/>
      <c r="D42" s="387"/>
      <c r="E42" s="387"/>
      <c r="F42" s="387"/>
      <c r="G42" s="25"/>
      <c r="H42" s="25"/>
      <c r="I42" s="25"/>
      <c r="J42" s="25"/>
      <c r="K42" s="25"/>
      <c r="L42" s="25"/>
      <c r="M42" s="746"/>
      <c r="N42" s="25"/>
      <c r="O42" s="25"/>
      <c r="P42" s="746"/>
    </row>
    <row r="43" spans="1:16" ht="12.75" customHeight="1">
      <c r="A43" s="249"/>
      <c r="B43" s="387"/>
      <c r="C43" s="387"/>
      <c r="D43" s="387"/>
      <c r="E43" s="387"/>
      <c r="F43" s="387"/>
      <c r="G43" s="25"/>
      <c r="H43" s="25"/>
      <c r="I43" s="25"/>
      <c r="J43" s="25"/>
      <c r="K43" s="25"/>
      <c r="L43" s="25"/>
      <c r="M43" s="746"/>
      <c r="N43" s="25"/>
      <c r="O43" s="25"/>
      <c r="P43" s="746"/>
    </row>
    <row r="44" spans="1:16" ht="12.75" customHeight="1">
      <c r="A44" s="422" t="s">
        <v>218</v>
      </c>
      <c r="B44" s="25"/>
      <c r="C44" s="25"/>
      <c r="D44" s="25"/>
      <c r="E44" s="25"/>
      <c r="F44" s="25"/>
      <c r="G44" s="25"/>
      <c r="H44" s="25"/>
      <c r="I44" s="25"/>
      <c r="J44" s="25"/>
      <c r="K44" s="25"/>
      <c r="L44" s="25"/>
      <c r="M44" s="746"/>
      <c r="N44" s="25"/>
      <c r="O44" s="25"/>
      <c r="P44" s="746"/>
    </row>
    <row r="45" spans="1:16" ht="12.75" customHeight="1">
      <c r="A45" s="25"/>
      <c r="B45" s="25"/>
      <c r="C45" s="25"/>
      <c r="D45" s="25"/>
      <c r="E45" s="25"/>
      <c r="F45" s="25"/>
      <c r="G45" s="25"/>
      <c r="H45" s="25"/>
      <c r="I45" s="25"/>
      <c r="J45" s="25"/>
      <c r="K45" s="25"/>
      <c r="L45" s="25"/>
      <c r="N45" s="25"/>
      <c r="O45" s="25"/>
    </row>
    <row r="46" spans="1:16" ht="12.75" customHeight="1">
      <c r="A46" s="423" t="s">
        <v>219</v>
      </c>
      <c r="B46" s="25"/>
      <c r="C46" s="25"/>
      <c r="D46" s="25"/>
      <c r="E46" s="25"/>
      <c r="F46" s="25"/>
      <c r="G46" s="25"/>
      <c r="H46" s="25"/>
      <c r="I46" s="25"/>
      <c r="J46" s="25"/>
      <c r="K46" s="25"/>
      <c r="L46" s="25"/>
      <c r="N46" s="25"/>
      <c r="O46" s="25"/>
    </row>
  </sheetData>
  <sheetProtection algorithmName="SHA-512" hashValue="vG6G/NKehZPqVZpfzkpSwJKcto/0liAMJPuyTDSsm0y43gOBAx1cr92YUfuLPVZfd4RiLDyr0zqKoQYLC1BdYQ==" saltValue="H0LmP6tmQ5hd5qeNVWh0+g==" spinCount="100000" sheet="1" objects="1" scenarios="1"/>
  <mergeCells count="3">
    <mergeCell ref="D4:D14"/>
    <mergeCell ref="F4:K4"/>
    <mergeCell ref="F5:K5"/>
  </mergeCells>
  <pageMargins left="0.74791666666666667" right="0.74791666666666667" top="0.98402777777777772" bottom="0.98402777777777772" header="0.51180555555555551" footer="0.51180555555555551"/>
  <pageSetup scale="73" firstPageNumber="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IV72"/>
  <sheetViews>
    <sheetView topLeftCell="A7" zoomScaleNormal="100" workbookViewId="0">
      <selection activeCell="A10" sqref="A10:C30"/>
    </sheetView>
  </sheetViews>
  <sheetFormatPr defaultColWidth="11.5703125" defaultRowHeight="15.75" customHeight="1"/>
  <cols>
    <col min="1" max="1" width="7.140625" style="16" customWidth="1"/>
    <col min="2" max="2" width="17.28515625" style="17" customWidth="1"/>
    <col min="3" max="3" width="10.7109375" style="17" customWidth="1"/>
    <col min="4" max="17" width="6.85546875" style="17" customWidth="1"/>
    <col min="18" max="18" width="6.140625" style="17" customWidth="1"/>
    <col min="19" max="250" width="17.28515625" style="17" customWidth="1"/>
    <col min="251" max="16384" width="11.5703125" style="18"/>
  </cols>
  <sheetData>
    <row r="1" spans="1:256" ht="12.75" customHeight="1">
      <c r="A1" s="16" t="s">
        <v>664</v>
      </c>
      <c r="P1" s="1219">
        <v>42671</v>
      </c>
      <c r="Q1" s="1219"/>
    </row>
    <row r="2" spans="1:256" ht="12.75" customHeight="1"/>
    <row r="3" spans="1:256" ht="12.75" customHeight="1">
      <c r="A3" s="16" t="s">
        <v>25</v>
      </c>
      <c r="B3" s="930">
        <v>1.732</v>
      </c>
      <c r="C3" s="366" t="s">
        <v>701</v>
      </c>
    </row>
    <row r="4" spans="1:256" ht="12.75" customHeight="1">
      <c r="A4" s="16" t="s">
        <v>29</v>
      </c>
      <c r="B4" s="930">
        <v>480</v>
      </c>
      <c r="C4" s="366" t="s">
        <v>30</v>
      </c>
      <c r="G4" s="21"/>
      <c r="H4" s="21"/>
    </row>
    <row r="5" spans="1:256" ht="12.75" customHeight="1">
      <c r="A5" s="16" t="s">
        <v>32</v>
      </c>
      <c r="B5" s="931">
        <v>0.05</v>
      </c>
      <c r="C5" s="366" t="s">
        <v>32</v>
      </c>
      <c r="I5" s="16">
        <f>B4*B5</f>
        <v>24</v>
      </c>
      <c r="J5" s="16" t="s">
        <v>31</v>
      </c>
    </row>
    <row r="6" spans="1:256" ht="12.75" customHeight="1">
      <c r="A6" s="19"/>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c r="DR6" s="18"/>
      <c r="DS6" s="18"/>
      <c r="DT6" s="18"/>
      <c r="DU6" s="18"/>
      <c r="DV6" s="18"/>
      <c r="DW6" s="18"/>
      <c r="DX6" s="18"/>
      <c r="DY6" s="18"/>
      <c r="DZ6" s="18"/>
      <c r="EA6" s="18"/>
      <c r="EB6" s="18"/>
      <c r="EC6" s="18"/>
      <c r="ED6" s="18"/>
      <c r="EE6" s="18"/>
      <c r="EF6" s="18"/>
      <c r="EG6" s="18"/>
      <c r="EH6" s="18"/>
      <c r="EI6" s="18"/>
      <c r="EJ6" s="18"/>
      <c r="EK6" s="18"/>
      <c r="EL6" s="18"/>
      <c r="EM6" s="18"/>
      <c r="EN6" s="18"/>
      <c r="EO6" s="18"/>
      <c r="EP6" s="18"/>
      <c r="EQ6" s="18"/>
      <c r="ER6" s="18"/>
      <c r="ES6" s="18"/>
      <c r="ET6" s="18"/>
      <c r="EU6" s="18"/>
      <c r="EV6" s="18"/>
      <c r="EW6" s="18"/>
      <c r="EX6" s="18"/>
      <c r="EY6" s="18"/>
      <c r="EZ6" s="18"/>
      <c r="FA6" s="18"/>
      <c r="FB6" s="18"/>
      <c r="FC6" s="18"/>
      <c r="FD6" s="18"/>
      <c r="FE6" s="18"/>
      <c r="FF6" s="18"/>
      <c r="FG6" s="18"/>
      <c r="FH6" s="18"/>
      <c r="FI6" s="18"/>
      <c r="FJ6" s="18"/>
      <c r="FK6" s="18"/>
      <c r="FL6" s="18"/>
      <c r="FM6" s="18"/>
      <c r="FN6" s="18"/>
      <c r="FO6" s="18"/>
      <c r="FP6" s="18"/>
      <c r="FQ6" s="18"/>
      <c r="FR6" s="18"/>
      <c r="FS6" s="18"/>
      <c r="FT6" s="18"/>
      <c r="FU6" s="18"/>
      <c r="FV6" s="18"/>
      <c r="FW6" s="18"/>
      <c r="FX6" s="18"/>
      <c r="FY6" s="18"/>
      <c r="FZ6" s="18"/>
      <c r="GA6" s="18"/>
      <c r="GB6" s="18"/>
      <c r="GC6" s="18"/>
      <c r="GD6" s="18"/>
      <c r="GE6" s="18"/>
      <c r="GF6" s="18"/>
      <c r="GG6" s="18"/>
      <c r="GH6" s="18"/>
      <c r="GI6" s="18"/>
      <c r="GJ6" s="18"/>
      <c r="GK6" s="18"/>
      <c r="GL6" s="18"/>
      <c r="GM6" s="18"/>
      <c r="GN6" s="18"/>
      <c r="GO6" s="18"/>
      <c r="GP6" s="18"/>
      <c r="GQ6" s="18"/>
      <c r="GR6" s="18"/>
      <c r="GS6" s="18"/>
      <c r="GT6" s="18"/>
      <c r="GU6" s="18"/>
      <c r="GV6" s="18"/>
      <c r="GW6" s="18"/>
      <c r="GX6" s="18"/>
      <c r="GY6" s="18"/>
      <c r="GZ6" s="18"/>
      <c r="HA6" s="18"/>
      <c r="HB6" s="18"/>
      <c r="HC6" s="18"/>
      <c r="HD6" s="18"/>
      <c r="HE6" s="18"/>
      <c r="HF6" s="18"/>
      <c r="HG6" s="18"/>
      <c r="HH6" s="18"/>
      <c r="HI6" s="18"/>
      <c r="HJ6" s="18"/>
      <c r="HK6" s="18"/>
      <c r="HL6" s="18"/>
      <c r="HM6" s="18"/>
      <c r="HN6" s="18"/>
      <c r="HO6" s="18"/>
      <c r="HP6" s="18"/>
      <c r="HQ6" s="18"/>
      <c r="HR6" s="18"/>
      <c r="HS6" s="18"/>
      <c r="HT6" s="18"/>
      <c r="HU6" s="18"/>
      <c r="HV6" s="18"/>
      <c r="HW6" s="18"/>
      <c r="HX6" s="18"/>
      <c r="HY6" s="18"/>
      <c r="HZ6" s="18"/>
      <c r="IA6" s="18"/>
      <c r="IB6" s="18"/>
      <c r="IC6" s="18"/>
      <c r="ID6" s="18"/>
      <c r="IE6" s="18"/>
      <c r="IF6" s="18"/>
      <c r="IG6" s="18"/>
      <c r="IH6" s="18"/>
      <c r="II6" s="18"/>
      <c r="IJ6" s="18"/>
      <c r="IK6" s="18"/>
      <c r="IL6" s="18"/>
      <c r="IM6" s="18"/>
      <c r="IN6" s="18"/>
      <c r="IO6" s="18"/>
      <c r="IP6" s="18"/>
    </row>
    <row r="7" spans="1:256" ht="12.75" customHeight="1">
      <c r="A7" s="19"/>
      <c r="B7" s="243" t="s">
        <v>668</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8"/>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18"/>
      <c r="EG7" s="18"/>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18"/>
      <c r="FZ7" s="18"/>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18"/>
      <c r="HS7" s="18"/>
      <c r="HT7" s="18"/>
      <c r="HU7" s="18"/>
      <c r="HV7" s="18"/>
      <c r="HW7" s="18"/>
      <c r="HX7" s="18"/>
      <c r="HY7" s="18"/>
      <c r="HZ7" s="18"/>
      <c r="IA7" s="18"/>
      <c r="IB7" s="18"/>
      <c r="IC7" s="18"/>
      <c r="ID7" s="18"/>
      <c r="IE7" s="18"/>
      <c r="IF7" s="18"/>
      <c r="IG7" s="18"/>
      <c r="IH7" s="18"/>
      <c r="II7" s="18"/>
      <c r="IJ7" s="18"/>
      <c r="IK7" s="18"/>
      <c r="IL7" s="18"/>
      <c r="IM7" s="18"/>
      <c r="IN7" s="18"/>
      <c r="IO7" s="18"/>
      <c r="IP7" s="18"/>
    </row>
    <row r="8" spans="1:256" ht="12.75" customHeight="1">
      <c r="B8" s="245" t="s">
        <v>667</v>
      </c>
      <c r="D8" s="1217" t="s">
        <v>760</v>
      </c>
      <c r="E8" s="1217"/>
      <c r="F8" s="1217"/>
      <c r="G8" s="1217"/>
      <c r="H8" s="1217"/>
      <c r="I8" s="1217"/>
      <c r="J8" s="1217"/>
      <c r="K8" s="1217"/>
      <c r="L8" s="1217"/>
      <c r="M8" s="1217"/>
      <c r="N8" s="1217"/>
      <c r="O8" s="1217"/>
      <c r="P8" s="1217"/>
      <c r="Q8" s="1217"/>
    </row>
    <row r="9" spans="1:256" s="16" customFormat="1" ht="12.75" customHeight="1">
      <c r="A9" s="235" t="s">
        <v>4</v>
      </c>
      <c r="B9" s="235" t="s">
        <v>41</v>
      </c>
      <c r="C9" s="235" t="s">
        <v>42</v>
      </c>
      <c r="D9" s="241">
        <v>150</v>
      </c>
      <c r="E9" s="235">
        <v>250</v>
      </c>
      <c r="F9" s="235">
        <v>500</v>
      </c>
      <c r="G9" s="235">
        <v>750</v>
      </c>
      <c r="H9" s="235">
        <v>1000</v>
      </c>
      <c r="I9" s="235">
        <v>1500</v>
      </c>
      <c r="J9" s="235">
        <v>2000</v>
      </c>
      <c r="K9" s="235">
        <v>2500</v>
      </c>
      <c r="L9" s="235">
        <v>3000</v>
      </c>
      <c r="M9" s="235">
        <v>3500</v>
      </c>
      <c r="N9" s="235">
        <v>4000</v>
      </c>
      <c r="O9" s="235">
        <v>4500</v>
      </c>
      <c r="P9" s="235">
        <v>5000</v>
      </c>
      <c r="Q9" s="235">
        <v>5280</v>
      </c>
      <c r="R9" s="16" t="s">
        <v>43</v>
      </c>
      <c r="IQ9" s="19"/>
      <c r="IR9" s="19"/>
      <c r="IS9" s="19"/>
      <c r="IT9" s="19"/>
      <c r="IU9" s="19"/>
      <c r="IV9" s="19"/>
    </row>
    <row r="10" spans="1:256" ht="12.75" customHeight="1">
      <c r="A10" s="235" t="s">
        <v>44</v>
      </c>
      <c r="B10" s="240">
        <v>20</v>
      </c>
      <c r="C10" s="235">
        <v>4110</v>
      </c>
      <c r="D10" s="236">
        <f t="shared" ref="D10:Q18" si="0">($I$5*$C10)/($B$3*D$9*12.9)</f>
        <v>29.432300338364037</v>
      </c>
      <c r="E10" s="236">
        <f t="shared" si="0"/>
        <v>17.659380203018422</v>
      </c>
      <c r="F10" s="236">
        <f t="shared" si="0"/>
        <v>8.8296901015092111</v>
      </c>
      <c r="G10" s="236">
        <f t="shared" si="0"/>
        <v>5.8864600676728065</v>
      </c>
      <c r="H10" s="236">
        <f t="shared" si="0"/>
        <v>4.4148450507546055</v>
      </c>
      <c r="I10" s="236">
        <f t="shared" si="0"/>
        <v>2.9432300338364032</v>
      </c>
      <c r="J10" s="236">
        <f t="shared" si="0"/>
        <v>2.2074225253773028</v>
      </c>
      <c r="K10" s="236">
        <f t="shared" si="0"/>
        <v>1.7659380203018422</v>
      </c>
      <c r="L10" s="236">
        <f t="shared" si="0"/>
        <v>1.4716150169182016</v>
      </c>
      <c r="M10" s="236">
        <f t="shared" si="0"/>
        <v>1.2613843002156016</v>
      </c>
      <c r="N10" s="236">
        <f t="shared" si="0"/>
        <v>1.1037112626886514</v>
      </c>
      <c r="O10" s="236">
        <f t="shared" si="0"/>
        <v>0.98107667794546782</v>
      </c>
      <c r="P10" s="236">
        <f t="shared" si="0"/>
        <v>0.88296901015092111</v>
      </c>
      <c r="Q10" s="236">
        <f t="shared" si="0"/>
        <v>0.83614489597625108</v>
      </c>
    </row>
    <row r="11" spans="1:256" ht="12.75" customHeight="1">
      <c r="A11" s="235" t="s">
        <v>45</v>
      </c>
      <c r="B11" s="240">
        <v>25</v>
      </c>
      <c r="C11" s="235">
        <v>6530</v>
      </c>
      <c r="D11" s="236">
        <f t="shared" si="0"/>
        <v>46.76226793418909</v>
      </c>
      <c r="E11" s="236">
        <f t="shared" si="0"/>
        <v>28.057360760513454</v>
      </c>
      <c r="F11" s="236">
        <f t="shared" si="0"/>
        <v>14.028680380256727</v>
      </c>
      <c r="G11" s="236">
        <f t="shared" si="0"/>
        <v>9.3524535868378162</v>
      </c>
      <c r="H11" s="236">
        <f t="shared" si="0"/>
        <v>7.0143401901283635</v>
      </c>
      <c r="I11" s="236">
        <f t="shared" si="0"/>
        <v>4.6762267934189081</v>
      </c>
      <c r="J11" s="236">
        <f t="shared" si="0"/>
        <v>3.5071700950641818</v>
      </c>
      <c r="K11" s="236">
        <f t="shared" si="0"/>
        <v>2.8057360760513452</v>
      </c>
      <c r="L11" s="236">
        <f t="shared" si="0"/>
        <v>2.3381133967094541</v>
      </c>
      <c r="M11" s="236">
        <f t="shared" si="0"/>
        <v>2.0040971971795325</v>
      </c>
      <c r="N11" s="236">
        <f t="shared" si="0"/>
        <v>1.7535850475320909</v>
      </c>
      <c r="O11" s="236">
        <f t="shared" si="0"/>
        <v>1.5587422644729696</v>
      </c>
      <c r="P11" s="236">
        <f t="shared" si="0"/>
        <v>1.4028680380256726</v>
      </c>
      <c r="Q11" s="236">
        <f t="shared" si="0"/>
        <v>1.3284735208576446</v>
      </c>
    </row>
    <row r="12" spans="1:256" ht="12.75" customHeight="1">
      <c r="A12" s="235" t="s">
        <v>46</v>
      </c>
      <c r="B12" s="240">
        <v>35</v>
      </c>
      <c r="C12" s="235">
        <v>10380</v>
      </c>
      <c r="D12" s="236">
        <f t="shared" si="0"/>
        <v>74.332670927547127</v>
      </c>
      <c r="E12" s="236">
        <f t="shared" si="0"/>
        <v>44.599602556528282</v>
      </c>
      <c r="F12" s="236">
        <f t="shared" si="0"/>
        <v>22.299801278264141</v>
      </c>
      <c r="G12" s="236">
        <f t="shared" si="0"/>
        <v>14.866534185509424</v>
      </c>
      <c r="H12" s="236">
        <f t="shared" si="0"/>
        <v>11.149900639132071</v>
      </c>
      <c r="I12" s="236">
        <f t="shared" si="0"/>
        <v>7.4332670927547122</v>
      </c>
      <c r="J12" s="236">
        <f t="shared" si="0"/>
        <v>5.5749503195660353</v>
      </c>
      <c r="K12" s="236">
        <f t="shared" si="0"/>
        <v>4.4599602556528275</v>
      </c>
      <c r="L12" s="236">
        <f t="shared" si="0"/>
        <v>3.7166335463773561</v>
      </c>
      <c r="M12" s="236">
        <f t="shared" si="0"/>
        <v>3.1856858968948769</v>
      </c>
      <c r="N12" s="236">
        <f t="shared" si="0"/>
        <v>2.7874751597830176</v>
      </c>
      <c r="O12" s="236">
        <f t="shared" si="0"/>
        <v>2.4777556975849042</v>
      </c>
      <c r="P12" s="236">
        <f t="shared" si="0"/>
        <v>2.2299801278264137</v>
      </c>
      <c r="Q12" s="236">
        <f t="shared" si="0"/>
        <v>2.1117236058962252</v>
      </c>
    </row>
    <row r="13" spans="1:256" ht="12.75" customHeight="1">
      <c r="A13" s="235" t="s">
        <v>47</v>
      </c>
      <c r="B13" s="240">
        <v>50</v>
      </c>
      <c r="C13" s="235">
        <v>16510</v>
      </c>
      <c r="D13" s="236">
        <f t="shared" si="0"/>
        <v>118.23048140788083</v>
      </c>
      <c r="E13" s="236">
        <f t="shared" si="0"/>
        <v>70.938288844728504</v>
      </c>
      <c r="F13" s="236">
        <f t="shared" si="0"/>
        <v>35.469144422364252</v>
      </c>
      <c r="G13" s="236">
        <f t="shared" si="0"/>
        <v>23.646096281576163</v>
      </c>
      <c r="H13" s="236">
        <f t="shared" si="0"/>
        <v>17.734572211182126</v>
      </c>
      <c r="I13" s="236">
        <f t="shared" si="0"/>
        <v>11.823048140788082</v>
      </c>
      <c r="J13" s="236">
        <f t="shared" si="0"/>
        <v>8.867286105591063</v>
      </c>
      <c r="K13" s="236">
        <f t="shared" si="0"/>
        <v>7.0938288844728499</v>
      </c>
      <c r="L13" s="236">
        <f t="shared" si="0"/>
        <v>5.9115240703940408</v>
      </c>
      <c r="M13" s="236">
        <f t="shared" si="0"/>
        <v>5.0670206317663213</v>
      </c>
      <c r="N13" s="236">
        <f t="shared" si="0"/>
        <v>4.4336430527955315</v>
      </c>
      <c r="O13" s="236">
        <f t="shared" si="0"/>
        <v>3.9410160469293611</v>
      </c>
      <c r="P13" s="236">
        <f t="shared" si="0"/>
        <v>3.5469144422364249</v>
      </c>
      <c r="Q13" s="236">
        <f t="shared" si="0"/>
        <v>3.3588204945420692</v>
      </c>
    </row>
    <row r="14" spans="1:256" ht="12.75" customHeight="1">
      <c r="A14" s="235" t="s">
        <v>48</v>
      </c>
      <c r="B14" s="240">
        <v>35</v>
      </c>
      <c r="C14" s="235">
        <v>26240</v>
      </c>
      <c r="D14" s="236">
        <f t="shared" si="0"/>
        <v>187.90840897291298</v>
      </c>
      <c r="E14" s="236">
        <f t="shared" si="0"/>
        <v>112.74504538374779</v>
      </c>
      <c r="F14" s="236">
        <f t="shared" si="0"/>
        <v>56.372522691873897</v>
      </c>
      <c r="G14" s="236">
        <f t="shared" si="0"/>
        <v>37.581681794582593</v>
      </c>
      <c r="H14" s="236">
        <f t="shared" si="0"/>
        <v>28.186261345936948</v>
      </c>
      <c r="I14" s="236">
        <f t="shared" si="0"/>
        <v>18.790840897291297</v>
      </c>
      <c r="J14" s="236">
        <f t="shared" si="0"/>
        <v>14.093130672968474</v>
      </c>
      <c r="K14" s="236">
        <f t="shared" si="0"/>
        <v>11.274504538374778</v>
      </c>
      <c r="L14" s="236">
        <f t="shared" si="0"/>
        <v>9.3954204486456483</v>
      </c>
      <c r="M14" s="236">
        <f t="shared" si="0"/>
        <v>8.0532175274105562</v>
      </c>
      <c r="N14" s="236">
        <f t="shared" si="0"/>
        <v>7.0465653364842371</v>
      </c>
      <c r="O14" s="236">
        <f t="shared" si="0"/>
        <v>6.2636136324304319</v>
      </c>
      <c r="P14" s="236">
        <f t="shared" si="0"/>
        <v>5.637252269187389</v>
      </c>
      <c r="Q14" s="236">
        <f t="shared" si="0"/>
        <v>5.3383070730941187</v>
      </c>
    </row>
    <row r="15" spans="1:256" ht="12.75" customHeight="1">
      <c r="A15" s="235" t="s">
        <v>49</v>
      </c>
      <c r="B15" s="240">
        <v>85</v>
      </c>
      <c r="C15" s="235">
        <v>41740</v>
      </c>
      <c r="D15" s="236">
        <f t="shared" si="0"/>
        <v>298.90613530980897</v>
      </c>
      <c r="E15" s="236">
        <f t="shared" si="0"/>
        <v>179.3436811858854</v>
      </c>
      <c r="F15" s="236">
        <f t="shared" si="0"/>
        <v>89.671840592942701</v>
      </c>
      <c r="G15" s="236">
        <f t="shared" si="0"/>
        <v>59.781227061961786</v>
      </c>
      <c r="H15" s="236">
        <f t="shared" si="0"/>
        <v>44.83592029647135</v>
      </c>
      <c r="I15" s="236">
        <f t="shared" si="0"/>
        <v>29.890613530980893</v>
      </c>
      <c r="J15" s="236">
        <f t="shared" si="0"/>
        <v>22.417960148235675</v>
      </c>
      <c r="K15" s="236">
        <f t="shared" si="0"/>
        <v>17.934368118588537</v>
      </c>
      <c r="L15" s="236">
        <f t="shared" si="0"/>
        <v>14.945306765490447</v>
      </c>
      <c r="M15" s="236">
        <f t="shared" si="0"/>
        <v>12.810262941848956</v>
      </c>
      <c r="N15" s="236">
        <f t="shared" si="0"/>
        <v>11.208980074117838</v>
      </c>
      <c r="O15" s="236">
        <f t="shared" si="0"/>
        <v>9.9635378436602995</v>
      </c>
      <c r="P15" s="236">
        <f t="shared" si="0"/>
        <v>8.9671840592942686</v>
      </c>
      <c r="Q15" s="236">
        <f t="shared" si="0"/>
        <v>8.4916515713013911</v>
      </c>
    </row>
    <row r="16" spans="1:256" ht="12.75" customHeight="1">
      <c r="A16" s="235" t="s">
        <v>50</v>
      </c>
      <c r="B16" s="240">
        <v>100</v>
      </c>
      <c r="C16" s="235">
        <v>52620</v>
      </c>
      <c r="D16" s="236">
        <f t="shared" si="0"/>
        <v>376.81937805467533</v>
      </c>
      <c r="E16" s="236">
        <f t="shared" si="0"/>
        <v>226.09162683280522</v>
      </c>
      <c r="F16" s="236">
        <f t="shared" si="0"/>
        <v>113.04581341640261</v>
      </c>
      <c r="G16" s="236">
        <f t="shared" si="0"/>
        <v>75.363875610935054</v>
      </c>
      <c r="H16" s="236">
        <f t="shared" si="0"/>
        <v>56.522906708201305</v>
      </c>
      <c r="I16" s="236">
        <f t="shared" si="0"/>
        <v>37.681937805467527</v>
      </c>
      <c r="J16" s="236">
        <f t="shared" si="0"/>
        <v>28.261453354100652</v>
      </c>
      <c r="K16" s="236">
        <f t="shared" si="0"/>
        <v>22.60916268328052</v>
      </c>
      <c r="L16" s="236">
        <f t="shared" si="0"/>
        <v>18.840968902733763</v>
      </c>
      <c r="M16" s="236">
        <f t="shared" si="0"/>
        <v>16.149401916628943</v>
      </c>
      <c r="N16" s="236">
        <f t="shared" si="0"/>
        <v>14.130726677050326</v>
      </c>
      <c r="O16" s="236">
        <f t="shared" si="0"/>
        <v>12.560645935155843</v>
      </c>
      <c r="P16" s="236">
        <f t="shared" si="0"/>
        <v>11.30458134164026</v>
      </c>
      <c r="Q16" s="236">
        <f t="shared" si="0"/>
        <v>10.705095967462368</v>
      </c>
    </row>
    <row r="17" spans="1:18" ht="12.75" customHeight="1">
      <c r="A17" s="235" t="s">
        <v>51</v>
      </c>
      <c r="B17" s="240">
        <v>115</v>
      </c>
      <c r="C17" s="235">
        <v>66360</v>
      </c>
      <c r="D17" s="236">
        <f t="shared" si="0"/>
        <v>475.21349159460766</v>
      </c>
      <c r="E17" s="236">
        <f t="shared" si="0"/>
        <v>285.12809495676458</v>
      </c>
      <c r="F17" s="236">
        <f t="shared" si="0"/>
        <v>142.56404747838229</v>
      </c>
      <c r="G17" s="236">
        <f t="shared" si="0"/>
        <v>95.042698318921524</v>
      </c>
      <c r="H17" s="236">
        <f t="shared" si="0"/>
        <v>71.282023739191146</v>
      </c>
      <c r="I17" s="236">
        <f t="shared" si="0"/>
        <v>47.521349159460762</v>
      </c>
      <c r="J17" s="236">
        <f t="shared" si="0"/>
        <v>35.641011869595573</v>
      </c>
      <c r="K17" s="236">
        <f t="shared" si="0"/>
        <v>28.512809495676461</v>
      </c>
      <c r="L17" s="236">
        <f t="shared" si="0"/>
        <v>23.760674579730381</v>
      </c>
      <c r="M17" s="236">
        <f t="shared" si="0"/>
        <v>20.366292496911758</v>
      </c>
      <c r="N17" s="236">
        <f t="shared" si="0"/>
        <v>17.820505934797787</v>
      </c>
      <c r="O17" s="236">
        <f t="shared" si="0"/>
        <v>15.840449719820255</v>
      </c>
      <c r="P17" s="236">
        <f t="shared" si="0"/>
        <v>14.25640474783823</v>
      </c>
      <c r="Q17" s="236">
        <f t="shared" si="0"/>
        <v>13.500383283937717</v>
      </c>
    </row>
    <row r="18" spans="1:18" ht="12.75" customHeight="1">
      <c r="A18" s="235" t="s">
        <v>52</v>
      </c>
      <c r="B18" s="240">
        <v>130</v>
      </c>
      <c r="C18" s="235">
        <v>83690</v>
      </c>
      <c r="D18" s="236">
        <f t="shared" si="0"/>
        <v>599.316110782892</v>
      </c>
      <c r="E18" s="236">
        <f t="shared" si="0"/>
        <v>359.58966646973522</v>
      </c>
      <c r="F18" s="236">
        <f t="shared" si="0"/>
        <v>179.79483323486761</v>
      </c>
      <c r="G18" s="236">
        <f t="shared" si="0"/>
        <v>119.86322215657839</v>
      </c>
      <c r="H18" s="236">
        <f t="shared" ref="D18:Q31" si="1">($I$5*$C18)/($B$3*H$9*12.9)</f>
        <v>89.897416617433805</v>
      </c>
      <c r="I18" s="236">
        <f t="shared" si="1"/>
        <v>59.931611078289194</v>
      </c>
      <c r="J18" s="236">
        <f t="shared" si="1"/>
        <v>44.948708308716903</v>
      </c>
      <c r="K18" s="236">
        <f t="shared" si="1"/>
        <v>35.958966646973522</v>
      </c>
      <c r="L18" s="236">
        <f t="shared" si="1"/>
        <v>29.965805539144597</v>
      </c>
      <c r="M18" s="236">
        <f t="shared" si="1"/>
        <v>25.684976176409659</v>
      </c>
      <c r="N18" s="236">
        <f t="shared" si="1"/>
        <v>22.474354154358451</v>
      </c>
      <c r="O18" s="236">
        <f t="shared" si="1"/>
        <v>19.977203692763066</v>
      </c>
      <c r="P18" s="236">
        <f t="shared" si="1"/>
        <v>17.979483323486761</v>
      </c>
      <c r="Q18" s="236">
        <f t="shared" si="1"/>
        <v>17.02602587451398</v>
      </c>
    </row>
    <row r="19" spans="1:18" ht="12.75" customHeight="1">
      <c r="A19" s="235" t="s">
        <v>18</v>
      </c>
      <c r="B19" s="240">
        <v>150</v>
      </c>
      <c r="C19" s="235">
        <v>105600</v>
      </c>
      <c r="D19" s="236">
        <f t="shared" si="1"/>
        <v>756.21676781782048</v>
      </c>
      <c r="E19" s="236">
        <f t="shared" si="1"/>
        <v>453.73006069069231</v>
      </c>
      <c r="F19" s="236">
        <f t="shared" si="1"/>
        <v>226.86503034534616</v>
      </c>
      <c r="G19" s="236">
        <f t="shared" si="1"/>
        <v>151.24335356356409</v>
      </c>
      <c r="H19" s="236">
        <f t="shared" si="1"/>
        <v>113.43251517267308</v>
      </c>
      <c r="I19" s="236">
        <f t="shared" si="1"/>
        <v>75.621676781782043</v>
      </c>
      <c r="J19" s="236">
        <f t="shared" si="1"/>
        <v>56.716257586336539</v>
      </c>
      <c r="K19" s="236">
        <f t="shared" si="1"/>
        <v>45.373006069069227</v>
      </c>
      <c r="L19" s="236">
        <f t="shared" si="1"/>
        <v>37.810838390891021</v>
      </c>
      <c r="M19" s="236">
        <f t="shared" si="1"/>
        <v>32.409290049335162</v>
      </c>
      <c r="N19" s="236">
        <f t="shared" si="1"/>
        <v>28.35812879316827</v>
      </c>
      <c r="O19" s="236">
        <f t="shared" si="1"/>
        <v>25.207225593927348</v>
      </c>
      <c r="P19" s="236">
        <f t="shared" si="1"/>
        <v>22.686503034534613</v>
      </c>
      <c r="Q19" s="236">
        <f t="shared" si="1"/>
        <v>21.483430903915355</v>
      </c>
    </row>
    <row r="20" spans="1:18" ht="12.75" customHeight="1">
      <c r="A20" s="235" t="s">
        <v>20</v>
      </c>
      <c r="B20" s="240">
        <v>175</v>
      </c>
      <c r="C20" s="235">
        <v>133100</v>
      </c>
      <c r="D20" s="236">
        <f t="shared" si="1"/>
        <v>953.14821777037787</v>
      </c>
      <c r="E20" s="236">
        <f t="shared" si="1"/>
        <v>571.88893066222681</v>
      </c>
      <c r="F20" s="236">
        <f t="shared" si="1"/>
        <v>285.94446533111341</v>
      </c>
      <c r="G20" s="236">
        <f t="shared" si="1"/>
        <v>190.62964355407556</v>
      </c>
      <c r="H20" s="236">
        <f t="shared" si="1"/>
        <v>142.9722326655567</v>
      </c>
      <c r="I20" s="236">
        <f t="shared" si="1"/>
        <v>95.314821777037778</v>
      </c>
      <c r="J20" s="236">
        <f t="shared" si="1"/>
        <v>71.486116332778352</v>
      </c>
      <c r="K20" s="236">
        <f t="shared" si="1"/>
        <v>57.188893066222676</v>
      </c>
      <c r="L20" s="236">
        <f t="shared" si="1"/>
        <v>47.657410888518889</v>
      </c>
      <c r="M20" s="236">
        <f t="shared" si="1"/>
        <v>40.849209333016198</v>
      </c>
      <c r="N20" s="236">
        <f t="shared" si="1"/>
        <v>35.743058166389176</v>
      </c>
      <c r="O20" s="236">
        <f t="shared" si="1"/>
        <v>31.771607259012598</v>
      </c>
      <c r="P20" s="236">
        <f t="shared" si="1"/>
        <v>28.594446533111338</v>
      </c>
      <c r="Q20" s="236">
        <f t="shared" si="1"/>
        <v>27.078074368476646</v>
      </c>
    </row>
    <row r="21" spans="1:18" ht="12.75" customHeight="1">
      <c r="A21" s="235" t="s">
        <v>22</v>
      </c>
      <c r="B21" s="240">
        <v>200</v>
      </c>
      <c r="C21" s="235">
        <v>167800</v>
      </c>
      <c r="D21" s="236">
        <f t="shared" si="1"/>
        <v>1201.6399018923321</v>
      </c>
      <c r="E21" s="236">
        <f t="shared" si="1"/>
        <v>720.98394113539939</v>
      </c>
      <c r="F21" s="236">
        <f t="shared" si="1"/>
        <v>360.4919705676997</v>
      </c>
      <c r="G21" s="236">
        <f t="shared" si="1"/>
        <v>240.32798037846641</v>
      </c>
      <c r="H21" s="236">
        <f t="shared" si="1"/>
        <v>180.24598528384985</v>
      </c>
      <c r="I21" s="236">
        <f t="shared" si="1"/>
        <v>120.1639901892332</v>
      </c>
      <c r="J21" s="236">
        <f t="shared" si="1"/>
        <v>90.122992641924924</v>
      </c>
      <c r="K21" s="236">
        <f t="shared" si="1"/>
        <v>72.098394113539939</v>
      </c>
      <c r="L21" s="236">
        <f t="shared" si="1"/>
        <v>60.081995094616602</v>
      </c>
      <c r="M21" s="236">
        <f t="shared" si="1"/>
        <v>51.498852938242806</v>
      </c>
      <c r="N21" s="236">
        <f t="shared" si="1"/>
        <v>45.061496320962462</v>
      </c>
      <c r="O21" s="236">
        <f t="shared" si="1"/>
        <v>40.054663396411073</v>
      </c>
      <c r="P21" s="236">
        <f t="shared" si="1"/>
        <v>36.04919705676997</v>
      </c>
      <c r="Q21" s="236">
        <f t="shared" si="1"/>
        <v>34.137497212850349</v>
      </c>
    </row>
    <row r="22" spans="1:18" ht="12.75" customHeight="1">
      <c r="A22" s="235" t="s">
        <v>23</v>
      </c>
      <c r="B22" s="240">
        <v>230</v>
      </c>
      <c r="C22" s="235">
        <v>211600</v>
      </c>
      <c r="D22" s="236">
        <f t="shared" si="1"/>
        <v>1515.2979930894965</v>
      </c>
      <c r="E22" s="236">
        <f t="shared" si="1"/>
        <v>909.17879585369792</v>
      </c>
      <c r="F22" s="236">
        <f t="shared" si="1"/>
        <v>454.58939792684896</v>
      </c>
      <c r="G22" s="236">
        <f t="shared" si="1"/>
        <v>303.05959861789921</v>
      </c>
      <c r="H22" s="236">
        <f t="shared" si="1"/>
        <v>227.29469896342448</v>
      </c>
      <c r="I22" s="236">
        <f t="shared" si="1"/>
        <v>151.52979930894961</v>
      </c>
      <c r="J22" s="236">
        <f t="shared" si="1"/>
        <v>113.64734948171224</v>
      </c>
      <c r="K22" s="236">
        <f t="shared" si="1"/>
        <v>90.917879585369789</v>
      </c>
      <c r="L22" s="236">
        <f t="shared" si="1"/>
        <v>75.764899654474803</v>
      </c>
      <c r="M22" s="236">
        <f t="shared" si="1"/>
        <v>64.941342560978413</v>
      </c>
      <c r="N22" s="236">
        <f t="shared" si="1"/>
        <v>56.82367474085612</v>
      </c>
      <c r="O22" s="236">
        <f t="shared" si="1"/>
        <v>50.509933102983211</v>
      </c>
      <c r="P22" s="236">
        <f t="shared" si="1"/>
        <v>45.458939792684895</v>
      </c>
      <c r="Q22" s="236">
        <f t="shared" si="1"/>
        <v>43.04823844004251</v>
      </c>
    </row>
    <row r="23" spans="1:18" ht="12.75" customHeight="1">
      <c r="A23" s="235" t="s">
        <v>53</v>
      </c>
      <c r="B23" s="240">
        <v>255</v>
      </c>
      <c r="C23" s="235">
        <v>250000</v>
      </c>
      <c r="D23" s="236">
        <f t="shared" si="1"/>
        <v>1790.2859086596129</v>
      </c>
      <c r="E23" s="236">
        <f t="shared" si="1"/>
        <v>1074.1715451957677</v>
      </c>
      <c r="F23" s="236">
        <f t="shared" si="1"/>
        <v>537.08577259788387</v>
      </c>
      <c r="G23" s="236">
        <f t="shared" si="1"/>
        <v>358.05718173192253</v>
      </c>
      <c r="H23" s="236">
        <f t="shared" si="1"/>
        <v>268.54288629894194</v>
      </c>
      <c r="I23" s="236">
        <f t="shared" si="1"/>
        <v>179.02859086596126</v>
      </c>
      <c r="J23" s="236">
        <f t="shared" si="1"/>
        <v>134.27144314947097</v>
      </c>
      <c r="K23" s="236">
        <f t="shared" si="1"/>
        <v>107.41715451957678</v>
      </c>
      <c r="L23" s="236">
        <f t="shared" si="1"/>
        <v>89.514295432980632</v>
      </c>
      <c r="M23" s="236">
        <f t="shared" si="1"/>
        <v>76.726538942554839</v>
      </c>
      <c r="N23" s="236">
        <f t="shared" si="1"/>
        <v>67.135721574735484</v>
      </c>
      <c r="O23" s="236">
        <f t="shared" si="1"/>
        <v>59.676196955320428</v>
      </c>
      <c r="P23" s="236">
        <f t="shared" si="1"/>
        <v>53.708577259788392</v>
      </c>
      <c r="Q23" s="236">
        <f t="shared" si="1"/>
        <v>50.860395132375366</v>
      </c>
    </row>
    <row r="24" spans="1:18" ht="12.75" customHeight="1">
      <c r="A24" s="235" t="s">
        <v>54</v>
      </c>
      <c r="B24" s="240">
        <v>285</v>
      </c>
      <c r="C24" s="235">
        <v>300000</v>
      </c>
      <c r="D24" s="236">
        <f t="shared" si="1"/>
        <v>2148.3430903915355</v>
      </c>
      <c r="E24" s="236">
        <f t="shared" si="1"/>
        <v>1289.0058542349213</v>
      </c>
      <c r="F24" s="236">
        <f t="shared" si="1"/>
        <v>644.50292711746067</v>
      </c>
      <c r="G24" s="236">
        <f t="shared" si="1"/>
        <v>429.66861807830708</v>
      </c>
      <c r="H24" s="236">
        <f t="shared" si="1"/>
        <v>322.25146355873034</v>
      </c>
      <c r="I24" s="236">
        <f t="shared" si="1"/>
        <v>214.83430903915354</v>
      </c>
      <c r="J24" s="236">
        <f t="shared" si="1"/>
        <v>161.12573177936517</v>
      </c>
      <c r="K24" s="236">
        <f t="shared" si="1"/>
        <v>128.90058542349215</v>
      </c>
      <c r="L24" s="236">
        <f t="shared" si="1"/>
        <v>107.41715451957677</v>
      </c>
      <c r="M24" s="236">
        <f t="shared" si="1"/>
        <v>92.071846731065804</v>
      </c>
      <c r="N24" s="236">
        <f t="shared" si="1"/>
        <v>80.562865889682584</v>
      </c>
      <c r="O24" s="236">
        <f t="shared" si="1"/>
        <v>71.611436346384508</v>
      </c>
      <c r="P24" s="236">
        <f t="shared" si="1"/>
        <v>64.450292711746073</v>
      </c>
      <c r="Q24" s="236">
        <f t="shared" si="1"/>
        <v>61.032474158850441</v>
      </c>
    </row>
    <row r="25" spans="1:18" ht="12.75" customHeight="1">
      <c r="A25" s="235" t="s">
        <v>55</v>
      </c>
      <c r="B25" s="240">
        <v>310</v>
      </c>
      <c r="C25" s="235">
        <v>350000</v>
      </c>
      <c r="D25" s="236">
        <f t="shared" si="1"/>
        <v>2506.4002721234579</v>
      </c>
      <c r="E25" s="236">
        <f t="shared" si="1"/>
        <v>1503.8401632740749</v>
      </c>
      <c r="F25" s="236">
        <f t="shared" si="1"/>
        <v>751.92008163703747</v>
      </c>
      <c r="G25" s="236">
        <f t="shared" si="1"/>
        <v>501.28005442469157</v>
      </c>
      <c r="H25" s="236">
        <f t="shared" si="1"/>
        <v>375.96004081851873</v>
      </c>
      <c r="I25" s="236">
        <f t="shared" si="1"/>
        <v>250.64002721234579</v>
      </c>
      <c r="J25" s="236">
        <f t="shared" si="1"/>
        <v>187.98002040925937</v>
      </c>
      <c r="K25" s="236">
        <f t="shared" si="1"/>
        <v>150.38401632740749</v>
      </c>
      <c r="L25" s="236">
        <f t="shared" si="1"/>
        <v>125.32001360617289</v>
      </c>
      <c r="M25" s="236">
        <f t="shared" si="1"/>
        <v>107.41715451957677</v>
      </c>
      <c r="N25" s="236">
        <f t="shared" si="1"/>
        <v>93.990010204629684</v>
      </c>
      <c r="O25" s="236">
        <f t="shared" si="1"/>
        <v>83.546675737448595</v>
      </c>
      <c r="P25" s="236">
        <f t="shared" si="1"/>
        <v>75.192008163703747</v>
      </c>
      <c r="Q25" s="236">
        <f t="shared" si="1"/>
        <v>71.204553185325523</v>
      </c>
    </row>
    <row r="26" spans="1:18" ht="12.75" customHeight="1">
      <c r="A26" s="235" t="s">
        <v>56</v>
      </c>
      <c r="B26" s="240">
        <v>335</v>
      </c>
      <c r="C26" s="235">
        <v>400000</v>
      </c>
      <c r="D26" s="236">
        <f t="shared" si="1"/>
        <v>2864.4574538553807</v>
      </c>
      <c r="E26" s="236">
        <f t="shared" si="1"/>
        <v>1718.6744723132285</v>
      </c>
      <c r="F26" s="236">
        <f t="shared" si="1"/>
        <v>859.33723615661427</v>
      </c>
      <c r="G26" s="236">
        <f t="shared" si="1"/>
        <v>572.89149077107606</v>
      </c>
      <c r="H26" s="236">
        <f t="shared" si="1"/>
        <v>429.66861807830713</v>
      </c>
      <c r="I26" s="236">
        <f t="shared" si="1"/>
        <v>286.44574538553803</v>
      </c>
      <c r="J26" s="236">
        <f t="shared" si="1"/>
        <v>214.83430903915357</v>
      </c>
      <c r="K26" s="236">
        <f t="shared" si="1"/>
        <v>171.86744723132284</v>
      </c>
      <c r="L26" s="236">
        <f t="shared" si="1"/>
        <v>143.22287269276902</v>
      </c>
      <c r="M26" s="236">
        <f t="shared" si="1"/>
        <v>122.76246230808773</v>
      </c>
      <c r="N26" s="236">
        <f t="shared" si="1"/>
        <v>107.41715451957678</v>
      </c>
      <c r="O26" s="236">
        <f t="shared" si="1"/>
        <v>95.481915128512682</v>
      </c>
      <c r="P26" s="236">
        <f t="shared" si="1"/>
        <v>85.933723615661421</v>
      </c>
      <c r="Q26" s="236">
        <f t="shared" si="1"/>
        <v>81.376632211800597</v>
      </c>
    </row>
    <row r="27" spans="1:18" ht="12.75" customHeight="1">
      <c r="A27" s="235" t="s">
        <v>57</v>
      </c>
      <c r="B27" s="240">
        <v>380</v>
      </c>
      <c r="C27" s="235">
        <v>500000</v>
      </c>
      <c r="D27" s="236">
        <f t="shared" si="1"/>
        <v>3580.5718173192258</v>
      </c>
      <c r="E27" s="236">
        <f t="shared" si="1"/>
        <v>2148.3430903915355</v>
      </c>
      <c r="F27" s="236">
        <f t="shared" si="1"/>
        <v>1074.1715451957677</v>
      </c>
      <c r="G27" s="236">
        <f t="shared" si="1"/>
        <v>716.11436346384505</v>
      </c>
      <c r="H27" s="236">
        <f t="shared" si="1"/>
        <v>537.08577259788387</v>
      </c>
      <c r="I27" s="236">
        <f t="shared" si="1"/>
        <v>358.05718173192253</v>
      </c>
      <c r="J27" s="236">
        <f t="shared" si="1"/>
        <v>268.54288629894194</v>
      </c>
      <c r="K27" s="236">
        <f t="shared" si="1"/>
        <v>214.83430903915357</v>
      </c>
      <c r="L27" s="236">
        <f t="shared" si="1"/>
        <v>179.02859086596126</v>
      </c>
      <c r="M27" s="236">
        <f t="shared" si="1"/>
        <v>153.45307788510968</v>
      </c>
      <c r="N27" s="236">
        <f t="shared" si="1"/>
        <v>134.27144314947097</v>
      </c>
      <c r="O27" s="236">
        <f t="shared" si="1"/>
        <v>119.35239391064086</v>
      </c>
      <c r="P27" s="236">
        <f t="shared" si="1"/>
        <v>107.41715451957678</v>
      </c>
      <c r="Q27" s="236">
        <f t="shared" si="1"/>
        <v>101.72079026475073</v>
      </c>
    </row>
    <row r="28" spans="1:18" ht="12.75" customHeight="1">
      <c r="A28" s="235" t="s">
        <v>58</v>
      </c>
      <c r="B28" s="240">
        <v>420</v>
      </c>
      <c r="C28" s="235">
        <v>600000</v>
      </c>
      <c r="D28" s="236">
        <f t="shared" si="1"/>
        <v>4296.686180783071</v>
      </c>
      <c r="E28" s="236">
        <f t="shared" si="1"/>
        <v>2578.0117084698427</v>
      </c>
      <c r="F28" s="236">
        <f t="shared" si="1"/>
        <v>1289.0058542349213</v>
      </c>
      <c r="G28" s="236">
        <f t="shared" si="1"/>
        <v>859.33723615661415</v>
      </c>
      <c r="H28" s="236">
        <f t="shared" si="1"/>
        <v>644.50292711746067</v>
      </c>
      <c r="I28" s="236">
        <f t="shared" si="1"/>
        <v>429.66861807830708</v>
      </c>
      <c r="J28" s="236">
        <f t="shared" si="1"/>
        <v>322.25146355873034</v>
      </c>
      <c r="K28" s="236">
        <f t="shared" si="1"/>
        <v>257.80117084698429</v>
      </c>
      <c r="L28" s="236">
        <f t="shared" si="1"/>
        <v>214.83430903915354</v>
      </c>
      <c r="M28" s="236">
        <f t="shared" si="1"/>
        <v>184.14369346213161</v>
      </c>
      <c r="N28" s="236">
        <f t="shared" si="1"/>
        <v>161.12573177936517</v>
      </c>
      <c r="O28" s="236">
        <f t="shared" si="1"/>
        <v>143.22287269276902</v>
      </c>
      <c r="P28" s="236">
        <f t="shared" si="1"/>
        <v>128.90058542349215</v>
      </c>
      <c r="Q28" s="236">
        <f t="shared" si="1"/>
        <v>122.06494831770088</v>
      </c>
    </row>
    <row r="29" spans="1:18" ht="12.75" customHeight="1">
      <c r="A29" s="235" t="s">
        <v>59</v>
      </c>
      <c r="B29" s="240">
        <v>460</v>
      </c>
      <c r="C29" s="235">
        <v>700000</v>
      </c>
      <c r="D29" s="236">
        <f t="shared" si="1"/>
        <v>5012.8005442469157</v>
      </c>
      <c r="E29" s="236">
        <f t="shared" si="1"/>
        <v>3007.6803265481499</v>
      </c>
      <c r="F29" s="236">
        <f t="shared" si="1"/>
        <v>1503.8401632740749</v>
      </c>
      <c r="G29" s="236">
        <f t="shared" si="1"/>
        <v>1002.5601088493831</v>
      </c>
      <c r="H29" s="236">
        <f t="shared" si="1"/>
        <v>751.92008163703747</v>
      </c>
      <c r="I29" s="236">
        <f t="shared" si="1"/>
        <v>501.28005442469157</v>
      </c>
      <c r="J29" s="236">
        <f t="shared" si="1"/>
        <v>375.96004081851873</v>
      </c>
      <c r="K29" s="236">
        <f t="shared" si="1"/>
        <v>300.76803265481499</v>
      </c>
      <c r="L29" s="236">
        <f t="shared" si="1"/>
        <v>250.64002721234579</v>
      </c>
      <c r="M29" s="236">
        <f t="shared" si="1"/>
        <v>214.83430903915354</v>
      </c>
      <c r="N29" s="236">
        <f t="shared" si="1"/>
        <v>187.98002040925937</v>
      </c>
      <c r="O29" s="236">
        <f t="shared" si="1"/>
        <v>167.09335147489719</v>
      </c>
      <c r="P29" s="236">
        <f t="shared" si="1"/>
        <v>150.38401632740749</v>
      </c>
      <c r="Q29" s="236">
        <f t="shared" si="1"/>
        <v>142.40910637065105</v>
      </c>
    </row>
    <row r="30" spans="1:18" ht="12.75" customHeight="1">
      <c r="A30" s="235" t="s">
        <v>60</v>
      </c>
      <c r="B30" s="240">
        <v>475</v>
      </c>
      <c r="C30" s="235">
        <v>750000</v>
      </c>
      <c r="D30" s="236">
        <f t="shared" si="1"/>
        <v>5370.857725978839</v>
      </c>
      <c r="E30" s="236">
        <f t="shared" si="1"/>
        <v>3222.5146355873035</v>
      </c>
      <c r="F30" s="236">
        <f t="shared" si="1"/>
        <v>1611.2573177936517</v>
      </c>
      <c r="G30" s="236">
        <f t="shared" si="1"/>
        <v>1074.1715451957675</v>
      </c>
      <c r="H30" s="236">
        <f t="shared" si="1"/>
        <v>805.62865889682587</v>
      </c>
      <c r="I30" s="236">
        <f t="shared" si="1"/>
        <v>537.08577259788376</v>
      </c>
      <c r="J30" s="236">
        <f t="shared" si="1"/>
        <v>402.81432944841293</v>
      </c>
      <c r="K30" s="236">
        <f t="shared" si="1"/>
        <v>322.25146355873034</v>
      </c>
      <c r="L30" s="236">
        <f t="shared" si="1"/>
        <v>268.54288629894188</v>
      </c>
      <c r="M30" s="236">
        <f t="shared" si="1"/>
        <v>230.17961682766452</v>
      </c>
      <c r="N30" s="236">
        <f t="shared" si="1"/>
        <v>201.40716472420647</v>
      </c>
      <c r="O30" s="236">
        <f t="shared" si="1"/>
        <v>179.02859086596129</v>
      </c>
      <c r="P30" s="236">
        <f t="shared" si="1"/>
        <v>161.12573177936517</v>
      </c>
      <c r="Q30" s="236">
        <f t="shared" si="1"/>
        <v>152.58118539712612</v>
      </c>
      <c r="R30" s="20"/>
    </row>
    <row r="31" spans="1:18" ht="12.75" customHeight="1">
      <c r="A31" s="235" t="s">
        <v>35</v>
      </c>
      <c r="B31" s="242">
        <v>60</v>
      </c>
      <c r="C31" s="242">
        <v>500000</v>
      </c>
      <c r="D31" s="236">
        <f t="shared" si="1"/>
        <v>3580.5718173192258</v>
      </c>
      <c r="E31" s="236">
        <f t="shared" si="1"/>
        <v>2148.3430903915355</v>
      </c>
      <c r="F31" s="236">
        <f t="shared" si="1"/>
        <v>1074.1715451957677</v>
      </c>
      <c r="G31" s="236">
        <f t="shared" si="1"/>
        <v>716.11436346384505</v>
      </c>
      <c r="H31" s="236">
        <f t="shared" si="1"/>
        <v>537.08577259788387</v>
      </c>
      <c r="I31" s="236">
        <f t="shared" si="1"/>
        <v>358.05718173192253</v>
      </c>
      <c r="J31" s="236">
        <f t="shared" si="1"/>
        <v>268.54288629894194</v>
      </c>
      <c r="K31" s="236">
        <f t="shared" si="1"/>
        <v>214.83430903915357</v>
      </c>
      <c r="L31" s="236">
        <f t="shared" si="1"/>
        <v>179.02859086596126</v>
      </c>
      <c r="M31" s="236">
        <f t="shared" si="1"/>
        <v>153.45307788510968</v>
      </c>
      <c r="N31" s="236">
        <f t="shared" si="1"/>
        <v>134.27144314947097</v>
      </c>
      <c r="O31" s="236">
        <f t="shared" si="1"/>
        <v>119.35239391064086</v>
      </c>
      <c r="P31" s="236">
        <f t="shared" si="1"/>
        <v>107.41715451957678</v>
      </c>
      <c r="Q31" s="236">
        <f t="shared" si="1"/>
        <v>101.72079026475073</v>
      </c>
    </row>
    <row r="32" spans="1:18" ht="12.75" customHeight="1">
      <c r="D32" s="20"/>
      <c r="E32" s="20"/>
      <c r="F32" s="20"/>
      <c r="G32" s="20"/>
      <c r="H32" s="20"/>
      <c r="I32" s="20"/>
      <c r="J32" s="20"/>
      <c r="K32" s="20"/>
      <c r="L32" s="20"/>
      <c r="M32" s="20"/>
      <c r="N32" s="20"/>
      <c r="O32" s="20"/>
      <c r="P32" s="20"/>
      <c r="Q32" s="20"/>
      <c r="R32" s="20"/>
    </row>
    <row r="33" spans="1:256" ht="12.75" customHeight="1">
      <c r="A33" s="19"/>
      <c r="B33" s="243" t="s">
        <v>668</v>
      </c>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row>
    <row r="34" spans="1:256" ht="12.75" customHeight="1">
      <c r="B34" s="244" t="s">
        <v>669</v>
      </c>
      <c r="D34" s="1218" t="s">
        <v>761</v>
      </c>
      <c r="E34" s="1218"/>
      <c r="F34" s="1218"/>
      <c r="G34" s="1218"/>
      <c r="H34" s="1218"/>
      <c r="I34" s="1218"/>
      <c r="J34" s="1218"/>
      <c r="K34" s="1218"/>
      <c r="L34" s="1218"/>
      <c r="M34" s="1218"/>
      <c r="N34" s="1218"/>
      <c r="O34" s="1218"/>
      <c r="P34" s="1218"/>
      <c r="Q34" s="1218"/>
    </row>
    <row r="35" spans="1:256" s="16" customFormat="1" ht="12.75" customHeight="1">
      <c r="A35" s="235" t="s">
        <v>4</v>
      </c>
      <c r="B35" s="235" t="s">
        <v>41</v>
      </c>
      <c r="C35" s="235" t="s">
        <v>42</v>
      </c>
      <c r="D35" s="241">
        <v>150</v>
      </c>
      <c r="E35" s="235">
        <v>250</v>
      </c>
      <c r="F35" s="235">
        <v>500</v>
      </c>
      <c r="G35" s="235">
        <v>750</v>
      </c>
      <c r="H35" s="235">
        <v>1000</v>
      </c>
      <c r="I35" s="235">
        <v>1500</v>
      </c>
      <c r="J35" s="235">
        <v>2000</v>
      </c>
      <c r="K35" s="235">
        <v>2500</v>
      </c>
      <c r="L35" s="235">
        <v>3000</v>
      </c>
      <c r="M35" s="235">
        <v>3500</v>
      </c>
      <c r="N35" s="235">
        <v>4000</v>
      </c>
      <c r="O35" s="235">
        <v>4500</v>
      </c>
      <c r="P35" s="235">
        <v>5000</v>
      </c>
      <c r="Q35" s="235">
        <v>5280</v>
      </c>
      <c r="R35" s="16" t="s">
        <v>43</v>
      </c>
      <c r="IQ35" s="19"/>
      <c r="IR35" s="19"/>
      <c r="IS35" s="19"/>
      <c r="IT35" s="19"/>
      <c r="IU35" s="19"/>
      <c r="IV35" s="19"/>
    </row>
    <row r="36" spans="1:256" ht="12.75" customHeight="1">
      <c r="A36" s="235" t="s">
        <v>45</v>
      </c>
      <c r="B36" s="240">
        <v>20</v>
      </c>
      <c r="C36" s="235">
        <v>6530</v>
      </c>
      <c r="D36" s="236">
        <f t="shared" ref="D36" si="2">($I$5*$C36)/($B$3*D$9*21.2)</f>
        <v>28.454398884482984</v>
      </c>
      <c r="E36" s="236">
        <f t="shared" ref="D36:Q54" si="3">($I$5*$C36)/($B$3*E$9*21.2)</f>
        <v>17.072639330689789</v>
      </c>
      <c r="F36" s="236">
        <f t="shared" si="3"/>
        <v>8.5363196653448945</v>
      </c>
      <c r="G36" s="236">
        <f t="shared" si="3"/>
        <v>5.6908797768965966</v>
      </c>
      <c r="H36" s="236">
        <f t="shared" si="3"/>
        <v>4.2681598326724473</v>
      </c>
      <c r="I36" s="236">
        <f t="shared" si="3"/>
        <v>2.8454398884482983</v>
      </c>
      <c r="J36" s="236">
        <f t="shared" si="3"/>
        <v>2.1340799163362236</v>
      </c>
      <c r="K36" s="236">
        <f t="shared" si="3"/>
        <v>1.7072639330689789</v>
      </c>
      <c r="L36" s="236">
        <f t="shared" si="3"/>
        <v>1.4227199442241492</v>
      </c>
      <c r="M36" s="236">
        <f t="shared" si="3"/>
        <v>1.2194742379064136</v>
      </c>
      <c r="N36" s="236">
        <f t="shared" si="3"/>
        <v>1.0670399581681118</v>
      </c>
      <c r="O36" s="236">
        <f t="shared" si="3"/>
        <v>0.94847996281609959</v>
      </c>
      <c r="P36" s="236">
        <f t="shared" si="3"/>
        <v>0.85363196653448947</v>
      </c>
      <c r="Q36" s="236">
        <f t="shared" si="3"/>
        <v>0.80836360467281221</v>
      </c>
    </row>
    <row r="37" spans="1:256" ht="12.75" customHeight="1">
      <c r="A37" s="235" t="s">
        <v>46</v>
      </c>
      <c r="B37" s="240">
        <v>30</v>
      </c>
      <c r="C37" s="235">
        <v>10380</v>
      </c>
      <c r="D37" s="236">
        <f t="shared" si="3"/>
        <v>45.230729007799901</v>
      </c>
      <c r="E37" s="236">
        <f t="shared" si="3"/>
        <v>27.138437404679941</v>
      </c>
      <c r="F37" s="236">
        <f t="shared" si="3"/>
        <v>13.56921870233997</v>
      </c>
      <c r="G37" s="236">
        <f t="shared" si="3"/>
        <v>9.0461458015599803</v>
      </c>
      <c r="H37" s="236">
        <f t="shared" si="3"/>
        <v>6.7846093511699852</v>
      </c>
      <c r="I37" s="236">
        <f t="shared" si="3"/>
        <v>4.5230729007799901</v>
      </c>
      <c r="J37" s="236">
        <f t="shared" si="3"/>
        <v>3.3923046755849926</v>
      </c>
      <c r="K37" s="236">
        <f t="shared" si="3"/>
        <v>2.7138437404679943</v>
      </c>
      <c r="L37" s="236">
        <f t="shared" si="3"/>
        <v>2.2615364503899951</v>
      </c>
      <c r="M37" s="236">
        <f t="shared" si="3"/>
        <v>1.9384598146199961</v>
      </c>
      <c r="N37" s="236">
        <f t="shared" si="3"/>
        <v>1.6961523377924963</v>
      </c>
      <c r="O37" s="236">
        <f t="shared" si="3"/>
        <v>1.5076909669266636</v>
      </c>
      <c r="P37" s="236">
        <f t="shared" si="3"/>
        <v>1.3569218702339971</v>
      </c>
      <c r="Q37" s="236">
        <f t="shared" si="3"/>
        <v>1.284963892267043</v>
      </c>
    </row>
    <row r="38" spans="1:256" ht="12.75" customHeight="1">
      <c r="A38" s="235" t="s">
        <v>47</v>
      </c>
      <c r="B38" s="240">
        <v>40</v>
      </c>
      <c r="C38" s="235">
        <v>16510</v>
      </c>
      <c r="D38" s="236">
        <f t="shared" si="3"/>
        <v>71.942132554795407</v>
      </c>
      <c r="E38" s="236">
        <f t="shared" si="3"/>
        <v>43.16527953287725</v>
      </c>
      <c r="F38" s="236">
        <f t="shared" si="3"/>
        <v>21.582639766438625</v>
      </c>
      <c r="G38" s="236">
        <f t="shared" si="3"/>
        <v>14.388426510959084</v>
      </c>
      <c r="H38" s="236">
        <f t="shared" si="3"/>
        <v>10.791319883219312</v>
      </c>
      <c r="I38" s="236">
        <f t="shared" si="3"/>
        <v>7.1942132554795419</v>
      </c>
      <c r="J38" s="236">
        <f t="shared" si="3"/>
        <v>5.3956599416096562</v>
      </c>
      <c r="K38" s="236">
        <f t="shared" si="3"/>
        <v>4.316527953287725</v>
      </c>
      <c r="L38" s="236">
        <f t="shared" si="3"/>
        <v>3.597106627739771</v>
      </c>
      <c r="M38" s="236">
        <f t="shared" si="3"/>
        <v>3.0832342523483751</v>
      </c>
      <c r="N38" s="236">
        <f t="shared" si="3"/>
        <v>2.6978299708048281</v>
      </c>
      <c r="O38" s="236">
        <f t="shared" si="3"/>
        <v>2.3980710851598475</v>
      </c>
      <c r="P38" s="236">
        <f t="shared" si="3"/>
        <v>2.1582639766438625</v>
      </c>
      <c r="Q38" s="236">
        <f t="shared" si="3"/>
        <v>2.0438105839430518</v>
      </c>
    </row>
    <row r="39" spans="1:256" ht="12.75" customHeight="1">
      <c r="A39" s="235" t="s">
        <v>48</v>
      </c>
      <c r="B39" s="240">
        <v>50</v>
      </c>
      <c r="C39" s="235">
        <v>26240</v>
      </c>
      <c r="D39" s="236">
        <f t="shared" si="3"/>
        <v>114.34049413917818</v>
      </c>
      <c r="E39" s="236">
        <f t="shared" si="3"/>
        <v>68.6042964835069</v>
      </c>
      <c r="F39" s="236">
        <f t="shared" si="3"/>
        <v>34.30214824175345</v>
      </c>
      <c r="G39" s="236">
        <f t="shared" si="3"/>
        <v>22.868098827835635</v>
      </c>
      <c r="H39" s="236">
        <f t="shared" si="3"/>
        <v>17.151074120876725</v>
      </c>
      <c r="I39" s="236">
        <f t="shared" si="3"/>
        <v>11.434049413917817</v>
      </c>
      <c r="J39" s="236">
        <f t="shared" si="3"/>
        <v>8.5755370604383625</v>
      </c>
      <c r="K39" s="236">
        <f t="shared" si="3"/>
        <v>6.8604296483506904</v>
      </c>
      <c r="L39" s="236">
        <f t="shared" si="3"/>
        <v>5.7170247069589086</v>
      </c>
      <c r="M39" s="236">
        <f t="shared" si="3"/>
        <v>4.9003068916790653</v>
      </c>
      <c r="N39" s="236">
        <f t="shared" si="3"/>
        <v>4.2877685302191813</v>
      </c>
      <c r="O39" s="236">
        <f t="shared" si="3"/>
        <v>3.8113498046392729</v>
      </c>
      <c r="P39" s="236">
        <f t="shared" si="3"/>
        <v>3.4302148241753452</v>
      </c>
      <c r="Q39" s="236">
        <f t="shared" si="3"/>
        <v>3.2483094925902898</v>
      </c>
    </row>
    <row r="40" spans="1:256" ht="12.75" customHeight="1">
      <c r="A40" s="235" t="s">
        <v>49</v>
      </c>
      <c r="B40" s="240">
        <v>65</v>
      </c>
      <c r="C40" s="235">
        <v>41740</v>
      </c>
      <c r="D40" s="236">
        <f t="shared" si="3"/>
        <v>181.88156346681771</v>
      </c>
      <c r="E40" s="236">
        <f t="shared" si="3"/>
        <v>109.12893808009063</v>
      </c>
      <c r="F40" s="236">
        <f t="shared" si="3"/>
        <v>54.564469040045317</v>
      </c>
      <c r="G40" s="236">
        <f t="shared" si="3"/>
        <v>36.376312693363545</v>
      </c>
      <c r="H40" s="236">
        <f t="shared" si="3"/>
        <v>27.282234520022659</v>
      </c>
      <c r="I40" s="236">
        <f t="shared" si="3"/>
        <v>18.188156346681772</v>
      </c>
      <c r="J40" s="236">
        <f t="shared" si="3"/>
        <v>13.641117260011329</v>
      </c>
      <c r="K40" s="236">
        <f t="shared" si="3"/>
        <v>10.912893808009063</v>
      </c>
      <c r="L40" s="236">
        <f t="shared" si="3"/>
        <v>9.0940781733408862</v>
      </c>
      <c r="M40" s="236">
        <f t="shared" si="3"/>
        <v>7.7949241485779028</v>
      </c>
      <c r="N40" s="236">
        <f t="shared" si="3"/>
        <v>6.8205586300056646</v>
      </c>
      <c r="O40" s="236">
        <f t="shared" si="3"/>
        <v>6.0627187822272584</v>
      </c>
      <c r="P40" s="236">
        <f t="shared" si="3"/>
        <v>5.4564469040045314</v>
      </c>
      <c r="Q40" s="236">
        <f t="shared" si="3"/>
        <v>5.1670898712164135</v>
      </c>
    </row>
    <row r="41" spans="1:256" ht="12.75" customHeight="1">
      <c r="A41" s="235" t="s">
        <v>50</v>
      </c>
      <c r="B41" s="240">
        <v>75</v>
      </c>
      <c r="C41" s="235">
        <v>52620</v>
      </c>
      <c r="D41" s="236">
        <f t="shared" si="3"/>
        <v>229.29103664647695</v>
      </c>
      <c r="E41" s="236">
        <f t="shared" si="3"/>
        <v>137.57462198788619</v>
      </c>
      <c r="F41" s="236">
        <f t="shared" si="3"/>
        <v>68.787310993943095</v>
      </c>
      <c r="G41" s="236">
        <f t="shared" si="3"/>
        <v>45.858207329295396</v>
      </c>
      <c r="H41" s="236">
        <f t="shared" si="3"/>
        <v>34.393655496971547</v>
      </c>
      <c r="I41" s="236">
        <f t="shared" si="3"/>
        <v>22.929103664647698</v>
      </c>
      <c r="J41" s="236">
        <f t="shared" si="3"/>
        <v>17.196827748485774</v>
      </c>
      <c r="K41" s="236">
        <f t="shared" si="3"/>
        <v>13.757462198788618</v>
      </c>
      <c r="L41" s="236">
        <f t="shared" si="3"/>
        <v>11.464551832323849</v>
      </c>
      <c r="M41" s="236">
        <f t="shared" si="3"/>
        <v>9.8267587134204426</v>
      </c>
      <c r="N41" s="236">
        <f t="shared" si="3"/>
        <v>8.5984138742428868</v>
      </c>
      <c r="O41" s="236">
        <f t="shared" si="3"/>
        <v>7.6430345548825667</v>
      </c>
      <c r="P41" s="236">
        <f t="shared" si="3"/>
        <v>6.8787310993943089</v>
      </c>
      <c r="Q41" s="236">
        <f t="shared" si="3"/>
        <v>6.5139499047294604</v>
      </c>
    </row>
    <row r="42" spans="1:256" ht="12.75" customHeight="1">
      <c r="A42" s="235" t="s">
        <v>51</v>
      </c>
      <c r="B42" s="240">
        <v>90</v>
      </c>
      <c r="C42" s="235">
        <v>66360</v>
      </c>
      <c r="D42" s="236">
        <f t="shared" si="3"/>
        <v>289.16292648917164</v>
      </c>
      <c r="E42" s="236">
        <f t="shared" si="3"/>
        <v>173.49775589350298</v>
      </c>
      <c r="F42" s="236">
        <f t="shared" si="3"/>
        <v>86.748877946751492</v>
      </c>
      <c r="G42" s="236">
        <f t="shared" si="3"/>
        <v>57.832585297834328</v>
      </c>
      <c r="H42" s="236">
        <f t="shared" si="3"/>
        <v>43.374438973375746</v>
      </c>
      <c r="I42" s="236">
        <f t="shared" si="3"/>
        <v>28.916292648917164</v>
      </c>
      <c r="J42" s="236">
        <f t="shared" si="3"/>
        <v>21.687219486687873</v>
      </c>
      <c r="K42" s="236">
        <f t="shared" si="3"/>
        <v>17.349775589350298</v>
      </c>
      <c r="L42" s="236">
        <f t="shared" si="3"/>
        <v>14.458146324458582</v>
      </c>
      <c r="M42" s="236">
        <f t="shared" si="3"/>
        <v>12.392696849535929</v>
      </c>
      <c r="N42" s="236">
        <f t="shared" si="3"/>
        <v>10.843609743343936</v>
      </c>
      <c r="O42" s="236">
        <f t="shared" si="3"/>
        <v>9.6387642163057219</v>
      </c>
      <c r="P42" s="236">
        <f t="shared" si="3"/>
        <v>8.6748877946751488</v>
      </c>
      <c r="Q42" s="236">
        <f t="shared" si="3"/>
        <v>8.2148558661696498</v>
      </c>
    </row>
    <row r="43" spans="1:256" ht="12.75" customHeight="1">
      <c r="A43" s="235" t="s">
        <v>52</v>
      </c>
      <c r="B43" s="240">
        <v>100</v>
      </c>
      <c r="C43" s="235">
        <v>83690</v>
      </c>
      <c r="D43" s="236">
        <f t="shared" si="3"/>
        <v>364.67819948581638</v>
      </c>
      <c r="E43" s="236">
        <f t="shared" si="3"/>
        <v>218.80691969148981</v>
      </c>
      <c r="F43" s="236">
        <f t="shared" si="3"/>
        <v>109.40345984574491</v>
      </c>
      <c r="G43" s="236">
        <f t="shared" si="3"/>
        <v>72.93563989716327</v>
      </c>
      <c r="H43" s="236">
        <f t="shared" si="3"/>
        <v>54.701729922872453</v>
      </c>
      <c r="I43" s="236">
        <f t="shared" si="3"/>
        <v>36.467819948581635</v>
      </c>
      <c r="J43" s="236">
        <f t="shared" si="3"/>
        <v>27.350864961436226</v>
      </c>
      <c r="K43" s="236">
        <f t="shared" si="3"/>
        <v>21.880691969148984</v>
      </c>
      <c r="L43" s="236">
        <f t="shared" si="3"/>
        <v>18.233909974290818</v>
      </c>
      <c r="M43" s="236">
        <f t="shared" si="3"/>
        <v>15.629065692249274</v>
      </c>
      <c r="N43" s="236">
        <f t="shared" si="3"/>
        <v>13.675432480718113</v>
      </c>
      <c r="O43" s="236">
        <f t="shared" si="3"/>
        <v>12.155939982860547</v>
      </c>
      <c r="P43" s="236">
        <f t="shared" si="3"/>
        <v>10.940345984574492</v>
      </c>
      <c r="Q43" s="236">
        <f t="shared" si="3"/>
        <v>10.360176121756149</v>
      </c>
    </row>
    <row r="44" spans="1:256" ht="12.75" customHeight="1">
      <c r="A44" s="235" t="s">
        <v>18</v>
      </c>
      <c r="B44" s="240">
        <v>120</v>
      </c>
      <c r="C44" s="235">
        <v>105600</v>
      </c>
      <c r="D44" s="236">
        <f t="shared" si="3"/>
        <v>460.15076909669267</v>
      </c>
      <c r="E44" s="236">
        <f t="shared" si="3"/>
        <v>276.09046145801557</v>
      </c>
      <c r="F44" s="236">
        <f t="shared" si="3"/>
        <v>138.04523072900778</v>
      </c>
      <c r="G44" s="236">
        <f t="shared" si="3"/>
        <v>92.030153819338537</v>
      </c>
      <c r="H44" s="236">
        <f t="shared" si="3"/>
        <v>69.022615364503892</v>
      </c>
      <c r="I44" s="236">
        <f t="shared" si="3"/>
        <v>46.015076909669268</v>
      </c>
      <c r="J44" s="236">
        <f t="shared" si="3"/>
        <v>34.511307682251946</v>
      </c>
      <c r="K44" s="236">
        <f t="shared" si="3"/>
        <v>27.60904614580156</v>
      </c>
      <c r="L44" s="236">
        <f t="shared" si="3"/>
        <v>23.007538454834634</v>
      </c>
      <c r="M44" s="236">
        <f t="shared" si="3"/>
        <v>19.720747247001114</v>
      </c>
      <c r="N44" s="236">
        <f t="shared" si="3"/>
        <v>17.255653841125973</v>
      </c>
      <c r="O44" s="236">
        <f t="shared" si="3"/>
        <v>15.338358969889757</v>
      </c>
      <c r="P44" s="236">
        <f t="shared" si="3"/>
        <v>13.80452307290078</v>
      </c>
      <c r="Q44" s="236">
        <f t="shared" si="3"/>
        <v>13.072465031156044</v>
      </c>
    </row>
    <row r="45" spans="1:256" ht="12.75" customHeight="1">
      <c r="A45" s="235" t="s">
        <v>20</v>
      </c>
      <c r="B45" s="240">
        <v>135</v>
      </c>
      <c r="C45" s="235">
        <v>133100</v>
      </c>
      <c r="D45" s="236">
        <f t="shared" si="3"/>
        <v>579.98169854895639</v>
      </c>
      <c r="E45" s="236">
        <f t="shared" si="3"/>
        <v>347.98901912937379</v>
      </c>
      <c r="F45" s="236">
        <f t="shared" si="3"/>
        <v>173.99450956468689</v>
      </c>
      <c r="G45" s="236">
        <f t="shared" si="3"/>
        <v>115.99633970979129</v>
      </c>
      <c r="H45" s="236">
        <f t="shared" si="3"/>
        <v>86.997254782343447</v>
      </c>
      <c r="I45" s="236">
        <f t="shared" si="3"/>
        <v>57.998169854895643</v>
      </c>
      <c r="J45" s="236">
        <f t="shared" si="3"/>
        <v>43.498627391171723</v>
      </c>
      <c r="K45" s="236">
        <f t="shared" si="3"/>
        <v>34.798901912937382</v>
      </c>
      <c r="L45" s="236">
        <f t="shared" si="3"/>
        <v>28.999084927447822</v>
      </c>
      <c r="M45" s="236">
        <f t="shared" si="3"/>
        <v>24.856358509240987</v>
      </c>
      <c r="N45" s="236">
        <f t="shared" si="3"/>
        <v>21.749313695585862</v>
      </c>
      <c r="O45" s="236">
        <f t="shared" si="3"/>
        <v>19.332723284965216</v>
      </c>
      <c r="P45" s="236">
        <f t="shared" si="3"/>
        <v>17.399450956468691</v>
      </c>
      <c r="Q45" s="236">
        <f t="shared" si="3"/>
        <v>16.476752799686263</v>
      </c>
    </row>
    <row r="46" spans="1:256" ht="12.75" customHeight="1">
      <c r="A46" s="235" t="s">
        <v>22</v>
      </c>
      <c r="B46" s="240">
        <v>155</v>
      </c>
      <c r="C46" s="235">
        <v>167800</v>
      </c>
      <c r="D46" s="236">
        <f t="shared" si="3"/>
        <v>731.18654407599456</v>
      </c>
      <c r="E46" s="236">
        <f t="shared" si="3"/>
        <v>438.71192644559676</v>
      </c>
      <c r="F46" s="236">
        <f t="shared" si="3"/>
        <v>219.35596322279838</v>
      </c>
      <c r="G46" s="236">
        <f t="shared" si="3"/>
        <v>146.23730881519893</v>
      </c>
      <c r="H46" s="236">
        <f t="shared" si="3"/>
        <v>109.67798161139919</v>
      </c>
      <c r="I46" s="236">
        <f t="shared" si="3"/>
        <v>73.118654407599465</v>
      </c>
      <c r="J46" s="236">
        <f t="shared" si="3"/>
        <v>54.838990805699595</v>
      </c>
      <c r="K46" s="236">
        <f t="shared" si="3"/>
        <v>43.871192644559677</v>
      </c>
      <c r="L46" s="236">
        <f t="shared" si="3"/>
        <v>36.559327203799732</v>
      </c>
      <c r="M46" s="236">
        <f t="shared" si="3"/>
        <v>31.336566174685483</v>
      </c>
      <c r="N46" s="236">
        <f t="shared" si="3"/>
        <v>27.419495402849797</v>
      </c>
      <c r="O46" s="236">
        <f t="shared" si="3"/>
        <v>24.372884802533154</v>
      </c>
      <c r="P46" s="236">
        <f t="shared" si="3"/>
        <v>21.935596322279839</v>
      </c>
      <c r="Q46" s="236">
        <f t="shared" si="3"/>
        <v>20.772345002158939</v>
      </c>
    </row>
    <row r="47" spans="1:256" ht="12.75" customHeight="1">
      <c r="A47" s="235" t="s">
        <v>23</v>
      </c>
      <c r="B47" s="240">
        <v>180</v>
      </c>
      <c r="C47" s="235">
        <v>211600</v>
      </c>
      <c r="D47" s="236">
        <f t="shared" si="3"/>
        <v>922.04453353087274</v>
      </c>
      <c r="E47" s="236">
        <f t="shared" si="3"/>
        <v>553.22672011852364</v>
      </c>
      <c r="F47" s="236">
        <f t="shared" si="3"/>
        <v>276.61336005926182</v>
      </c>
      <c r="G47" s="236">
        <f t="shared" si="3"/>
        <v>184.40890670617458</v>
      </c>
      <c r="H47" s="236">
        <f t="shared" si="3"/>
        <v>138.30668002963091</v>
      </c>
      <c r="I47" s="236">
        <f t="shared" si="3"/>
        <v>92.204453353087288</v>
      </c>
      <c r="J47" s="236">
        <f t="shared" si="3"/>
        <v>69.153340014815456</v>
      </c>
      <c r="K47" s="236">
        <f t="shared" si="3"/>
        <v>55.322672011852369</v>
      </c>
      <c r="L47" s="236">
        <f t="shared" si="3"/>
        <v>46.102226676543644</v>
      </c>
      <c r="M47" s="236">
        <f t="shared" si="3"/>
        <v>39.516194294180266</v>
      </c>
      <c r="N47" s="236">
        <f t="shared" si="3"/>
        <v>34.576670007407728</v>
      </c>
      <c r="O47" s="236">
        <f t="shared" si="3"/>
        <v>30.734817784362431</v>
      </c>
      <c r="P47" s="236">
        <f t="shared" si="3"/>
        <v>27.661336005926184</v>
      </c>
      <c r="Q47" s="236">
        <f t="shared" si="3"/>
        <v>26.194446975308889</v>
      </c>
    </row>
    <row r="48" spans="1:256" ht="12.75" customHeight="1">
      <c r="A48" s="235" t="s">
        <v>53</v>
      </c>
      <c r="B48" s="240">
        <v>205</v>
      </c>
      <c r="C48" s="235">
        <v>250000</v>
      </c>
      <c r="D48" s="236">
        <f t="shared" si="3"/>
        <v>1089.37208592967</v>
      </c>
      <c r="E48" s="236">
        <f t="shared" si="3"/>
        <v>653.62325155780206</v>
      </c>
      <c r="F48" s="236">
        <f t="shared" si="3"/>
        <v>326.81162577890103</v>
      </c>
      <c r="G48" s="236">
        <f t="shared" si="3"/>
        <v>217.87441718593402</v>
      </c>
      <c r="H48" s="236">
        <f t="shared" si="3"/>
        <v>163.40581288945052</v>
      </c>
      <c r="I48" s="236">
        <f t="shared" si="3"/>
        <v>108.93720859296701</v>
      </c>
      <c r="J48" s="236">
        <f t="shared" si="3"/>
        <v>81.702906444725258</v>
      </c>
      <c r="K48" s="236">
        <f t="shared" si="3"/>
        <v>65.362325155780212</v>
      </c>
      <c r="L48" s="236">
        <f t="shared" si="3"/>
        <v>54.468604296483505</v>
      </c>
      <c r="M48" s="236">
        <f t="shared" si="3"/>
        <v>46.687375111271578</v>
      </c>
      <c r="N48" s="236">
        <f t="shared" si="3"/>
        <v>40.851453222362629</v>
      </c>
      <c r="O48" s="236">
        <f t="shared" si="3"/>
        <v>36.312402864322344</v>
      </c>
      <c r="P48" s="236">
        <f t="shared" si="3"/>
        <v>32.681162577890106</v>
      </c>
      <c r="Q48" s="236">
        <f t="shared" si="3"/>
        <v>30.948070623001996</v>
      </c>
    </row>
    <row r="49" spans="1:18" ht="12.75" customHeight="1">
      <c r="A49" s="235" t="s">
        <v>54</v>
      </c>
      <c r="B49" s="240">
        <v>230</v>
      </c>
      <c r="C49" s="235">
        <v>300000</v>
      </c>
      <c r="D49" s="236">
        <f t="shared" si="3"/>
        <v>1307.2465031156041</v>
      </c>
      <c r="E49" s="236">
        <f t="shared" si="3"/>
        <v>784.34790186936243</v>
      </c>
      <c r="F49" s="236">
        <f t="shared" si="3"/>
        <v>392.17395093468122</v>
      </c>
      <c r="G49" s="236">
        <f t="shared" si="3"/>
        <v>261.44930062312085</v>
      </c>
      <c r="H49" s="236">
        <f t="shared" si="3"/>
        <v>196.08697546734061</v>
      </c>
      <c r="I49" s="236">
        <f t="shared" si="3"/>
        <v>130.72465031156042</v>
      </c>
      <c r="J49" s="236">
        <f t="shared" si="3"/>
        <v>98.043487733670304</v>
      </c>
      <c r="K49" s="236">
        <f t="shared" si="3"/>
        <v>78.434790186936254</v>
      </c>
      <c r="L49" s="236">
        <f t="shared" si="3"/>
        <v>65.362325155780212</v>
      </c>
      <c r="M49" s="236">
        <f t="shared" si="3"/>
        <v>56.024850133525895</v>
      </c>
      <c r="N49" s="236">
        <f t="shared" si="3"/>
        <v>49.021743866835152</v>
      </c>
      <c r="O49" s="236">
        <f t="shared" si="3"/>
        <v>43.574883437186806</v>
      </c>
      <c r="P49" s="236">
        <f t="shared" si="3"/>
        <v>39.217395093468127</v>
      </c>
      <c r="Q49" s="236">
        <f t="shared" si="3"/>
        <v>37.1376847476024</v>
      </c>
    </row>
    <row r="50" spans="1:18" ht="12.75" customHeight="1">
      <c r="A50" s="235" t="s">
        <v>55</v>
      </c>
      <c r="B50" s="240">
        <v>250</v>
      </c>
      <c r="C50" s="235">
        <v>350000</v>
      </c>
      <c r="D50" s="236">
        <f t="shared" si="3"/>
        <v>1525.120920301538</v>
      </c>
      <c r="E50" s="236">
        <f t="shared" si="3"/>
        <v>915.07255218092291</v>
      </c>
      <c r="F50" s="236">
        <f t="shared" si="3"/>
        <v>457.53627609046146</v>
      </c>
      <c r="G50" s="236">
        <f t="shared" si="3"/>
        <v>305.02418406030762</v>
      </c>
      <c r="H50" s="236">
        <f t="shared" si="3"/>
        <v>228.76813804523073</v>
      </c>
      <c r="I50" s="236">
        <f t="shared" si="3"/>
        <v>152.51209203015381</v>
      </c>
      <c r="J50" s="236">
        <f t="shared" si="3"/>
        <v>114.38406902261536</v>
      </c>
      <c r="K50" s="236">
        <f t="shared" si="3"/>
        <v>91.507255218092297</v>
      </c>
      <c r="L50" s="236">
        <f t="shared" si="3"/>
        <v>76.256046015076905</v>
      </c>
      <c r="M50" s="236">
        <f t="shared" si="3"/>
        <v>65.362325155780212</v>
      </c>
      <c r="N50" s="236">
        <f t="shared" si="3"/>
        <v>57.192034511307682</v>
      </c>
      <c r="O50" s="236">
        <f t="shared" si="3"/>
        <v>50.837364010051274</v>
      </c>
      <c r="P50" s="236">
        <f t="shared" si="3"/>
        <v>45.753627609046148</v>
      </c>
      <c r="Q50" s="236">
        <f t="shared" si="3"/>
        <v>43.327298872202796</v>
      </c>
    </row>
    <row r="51" spans="1:18" ht="12.75" customHeight="1">
      <c r="A51" s="235" t="s">
        <v>56</v>
      </c>
      <c r="B51" s="240">
        <v>270</v>
      </c>
      <c r="C51" s="235">
        <v>400000</v>
      </c>
      <c r="D51" s="236">
        <f t="shared" si="3"/>
        <v>1742.9953374874722</v>
      </c>
      <c r="E51" s="236">
        <f t="shared" si="3"/>
        <v>1045.7972024924834</v>
      </c>
      <c r="F51" s="236">
        <f t="shared" si="3"/>
        <v>522.8986012462417</v>
      </c>
      <c r="G51" s="236">
        <f t="shared" si="3"/>
        <v>348.59906749749445</v>
      </c>
      <c r="H51" s="236">
        <f t="shared" si="3"/>
        <v>261.44930062312085</v>
      </c>
      <c r="I51" s="236">
        <f t="shared" si="3"/>
        <v>174.29953374874722</v>
      </c>
      <c r="J51" s="236">
        <f t="shared" si="3"/>
        <v>130.72465031156042</v>
      </c>
      <c r="K51" s="236">
        <f t="shared" si="3"/>
        <v>104.57972024924834</v>
      </c>
      <c r="L51" s="236">
        <f t="shared" si="3"/>
        <v>87.149766874373611</v>
      </c>
      <c r="M51" s="236">
        <f t="shared" si="3"/>
        <v>74.699800178034522</v>
      </c>
      <c r="N51" s="236">
        <f t="shared" si="3"/>
        <v>65.362325155780212</v>
      </c>
      <c r="O51" s="236">
        <f t="shared" si="3"/>
        <v>58.099844582915743</v>
      </c>
      <c r="P51" s="236">
        <f t="shared" si="3"/>
        <v>52.28986012462417</v>
      </c>
      <c r="Q51" s="236">
        <f t="shared" si="3"/>
        <v>49.516912996803192</v>
      </c>
    </row>
    <row r="52" spans="1:18" ht="12.75" customHeight="1">
      <c r="A52" s="235" t="s">
        <v>57</v>
      </c>
      <c r="B52" s="240">
        <v>310</v>
      </c>
      <c r="C52" s="235">
        <v>500000</v>
      </c>
      <c r="D52" s="236">
        <f t="shared" si="3"/>
        <v>2178.74417185934</v>
      </c>
      <c r="E52" s="236">
        <f t="shared" si="3"/>
        <v>1307.2465031156041</v>
      </c>
      <c r="F52" s="236">
        <f t="shared" si="3"/>
        <v>653.62325155780206</v>
      </c>
      <c r="G52" s="236">
        <f t="shared" si="3"/>
        <v>435.74883437186804</v>
      </c>
      <c r="H52" s="236">
        <f t="shared" si="3"/>
        <v>326.81162577890103</v>
      </c>
      <c r="I52" s="236">
        <f t="shared" si="3"/>
        <v>217.87441718593402</v>
      </c>
      <c r="J52" s="236">
        <f t="shared" si="3"/>
        <v>163.40581288945052</v>
      </c>
      <c r="K52" s="236">
        <f t="shared" si="3"/>
        <v>130.72465031156042</v>
      </c>
      <c r="L52" s="236">
        <f t="shared" si="3"/>
        <v>108.93720859296701</v>
      </c>
      <c r="M52" s="236">
        <f t="shared" si="3"/>
        <v>93.374750222543156</v>
      </c>
      <c r="N52" s="236">
        <f t="shared" si="3"/>
        <v>81.702906444725258</v>
      </c>
      <c r="O52" s="236">
        <f t="shared" si="3"/>
        <v>72.624805728644688</v>
      </c>
      <c r="P52" s="236">
        <f t="shared" si="3"/>
        <v>65.362325155780212</v>
      </c>
      <c r="Q52" s="236">
        <f t="shared" si="3"/>
        <v>61.896141246003992</v>
      </c>
    </row>
    <row r="53" spans="1:18" ht="12.75" customHeight="1">
      <c r="A53" s="235" t="s">
        <v>58</v>
      </c>
      <c r="B53" s="240">
        <v>340</v>
      </c>
      <c r="C53" s="235">
        <v>600000</v>
      </c>
      <c r="D53" s="236">
        <f t="shared" si="3"/>
        <v>2614.4930062312083</v>
      </c>
      <c r="E53" s="236">
        <f t="shared" si="3"/>
        <v>1568.6958037387249</v>
      </c>
      <c r="F53" s="236">
        <f t="shared" si="3"/>
        <v>784.34790186936243</v>
      </c>
      <c r="G53" s="236">
        <f t="shared" si="3"/>
        <v>522.8986012462417</v>
      </c>
      <c r="H53" s="236">
        <f t="shared" si="3"/>
        <v>392.17395093468122</v>
      </c>
      <c r="I53" s="236">
        <f t="shared" si="3"/>
        <v>261.44930062312085</v>
      </c>
      <c r="J53" s="236">
        <f t="shared" si="3"/>
        <v>196.08697546734061</v>
      </c>
      <c r="K53" s="236">
        <f t="shared" si="3"/>
        <v>156.86958037387251</v>
      </c>
      <c r="L53" s="236">
        <f t="shared" si="3"/>
        <v>130.72465031156042</v>
      </c>
      <c r="M53" s="236">
        <f t="shared" si="3"/>
        <v>112.04970026705179</v>
      </c>
      <c r="N53" s="236">
        <f t="shared" si="3"/>
        <v>98.043487733670304</v>
      </c>
      <c r="O53" s="236">
        <f t="shared" si="3"/>
        <v>87.149766874373611</v>
      </c>
      <c r="P53" s="236">
        <f t="shared" si="3"/>
        <v>78.434790186936254</v>
      </c>
      <c r="Q53" s="236">
        <f t="shared" si="3"/>
        <v>74.275369495204799</v>
      </c>
    </row>
    <row r="54" spans="1:18" ht="12.75" customHeight="1">
      <c r="A54" s="235" t="s">
        <v>59</v>
      </c>
      <c r="B54" s="240">
        <v>375</v>
      </c>
      <c r="C54" s="235">
        <v>700000</v>
      </c>
      <c r="D54" s="236">
        <f t="shared" si="3"/>
        <v>3050.2418406030761</v>
      </c>
      <c r="E54" s="236">
        <f t="shared" si="3"/>
        <v>1830.1451043618458</v>
      </c>
      <c r="F54" s="236">
        <f t="shared" si="3"/>
        <v>915.07255218092291</v>
      </c>
      <c r="G54" s="236">
        <f t="shared" si="3"/>
        <v>610.04836812061524</v>
      </c>
      <c r="H54" s="236">
        <f t="shared" ref="D54:Q56" si="4">($I$5*$C54)/($B$3*H$9*21.2)</f>
        <v>457.53627609046146</v>
      </c>
      <c r="I54" s="236">
        <f t="shared" si="4"/>
        <v>305.02418406030762</v>
      </c>
      <c r="J54" s="236">
        <f t="shared" si="4"/>
        <v>228.76813804523073</v>
      </c>
      <c r="K54" s="236">
        <f t="shared" si="4"/>
        <v>183.01451043618459</v>
      </c>
      <c r="L54" s="236">
        <f t="shared" si="4"/>
        <v>152.51209203015381</v>
      </c>
      <c r="M54" s="236">
        <f t="shared" si="4"/>
        <v>130.72465031156042</v>
      </c>
      <c r="N54" s="236">
        <f t="shared" si="4"/>
        <v>114.38406902261536</v>
      </c>
      <c r="O54" s="236">
        <f t="shared" si="4"/>
        <v>101.67472802010255</v>
      </c>
      <c r="P54" s="236">
        <f t="shared" si="4"/>
        <v>91.507255218092297</v>
      </c>
      <c r="Q54" s="236">
        <f t="shared" si="4"/>
        <v>86.654597744405592</v>
      </c>
    </row>
    <row r="55" spans="1:18" ht="12.75" customHeight="1">
      <c r="A55" s="235" t="s">
        <v>60</v>
      </c>
      <c r="B55" s="240">
        <v>385</v>
      </c>
      <c r="C55" s="235">
        <v>750000</v>
      </c>
      <c r="D55" s="236">
        <f t="shared" si="4"/>
        <v>3268.1162577890104</v>
      </c>
      <c r="E55" s="236">
        <f t="shared" si="4"/>
        <v>1960.8697546734061</v>
      </c>
      <c r="F55" s="236">
        <f t="shared" si="4"/>
        <v>980.43487733670304</v>
      </c>
      <c r="G55" s="236">
        <f t="shared" si="4"/>
        <v>653.62325155780206</v>
      </c>
      <c r="H55" s="236">
        <f t="shared" si="4"/>
        <v>490.21743866835152</v>
      </c>
      <c r="I55" s="236">
        <f t="shared" si="4"/>
        <v>326.81162577890103</v>
      </c>
      <c r="J55" s="236">
        <f t="shared" si="4"/>
        <v>245.10871933417576</v>
      </c>
      <c r="K55" s="236">
        <f t="shared" si="4"/>
        <v>196.08697546734064</v>
      </c>
      <c r="L55" s="236">
        <f t="shared" si="4"/>
        <v>163.40581288945052</v>
      </c>
      <c r="M55" s="236">
        <f t="shared" si="4"/>
        <v>140.06212533381475</v>
      </c>
      <c r="N55" s="236">
        <f t="shared" si="4"/>
        <v>122.55435966708788</v>
      </c>
      <c r="O55" s="236">
        <f t="shared" si="4"/>
        <v>108.93720859296702</v>
      </c>
      <c r="P55" s="236">
        <f t="shared" si="4"/>
        <v>98.043487733670318</v>
      </c>
      <c r="Q55" s="236">
        <f t="shared" si="4"/>
        <v>92.844211869005989</v>
      </c>
      <c r="R55" s="20"/>
    </row>
    <row r="56" spans="1:18" ht="12.75" customHeight="1">
      <c r="A56" s="235" t="s">
        <v>35</v>
      </c>
      <c r="B56" s="242">
        <v>60</v>
      </c>
      <c r="C56" s="242">
        <v>500000</v>
      </c>
      <c r="D56" s="236">
        <f t="shared" si="4"/>
        <v>2178.74417185934</v>
      </c>
      <c r="E56" s="236">
        <f t="shared" si="4"/>
        <v>1307.2465031156041</v>
      </c>
      <c r="F56" s="236">
        <f t="shared" si="4"/>
        <v>653.62325155780206</v>
      </c>
      <c r="G56" s="236">
        <f t="shared" si="4"/>
        <v>435.74883437186804</v>
      </c>
      <c r="H56" s="236">
        <f t="shared" si="4"/>
        <v>326.81162577890103</v>
      </c>
      <c r="I56" s="236">
        <f t="shared" si="4"/>
        <v>217.87441718593402</v>
      </c>
      <c r="J56" s="236">
        <f t="shared" si="4"/>
        <v>163.40581288945052</v>
      </c>
      <c r="K56" s="236">
        <f t="shared" si="4"/>
        <v>130.72465031156042</v>
      </c>
      <c r="L56" s="236">
        <f t="shared" si="4"/>
        <v>108.93720859296701</v>
      </c>
      <c r="M56" s="236">
        <f t="shared" si="4"/>
        <v>93.374750222543156</v>
      </c>
      <c r="N56" s="236">
        <f t="shared" si="4"/>
        <v>81.702906444725258</v>
      </c>
      <c r="O56" s="236">
        <f t="shared" si="4"/>
        <v>72.624805728644688</v>
      </c>
      <c r="P56" s="236">
        <f t="shared" si="4"/>
        <v>65.362325155780212</v>
      </c>
      <c r="Q56" s="236">
        <f t="shared" si="4"/>
        <v>61.896141246003992</v>
      </c>
    </row>
    <row r="57" spans="1:18" ht="12.75" customHeight="1">
      <c r="D57" s="20"/>
      <c r="E57" s="20"/>
      <c r="F57" s="20"/>
      <c r="G57" s="20"/>
      <c r="H57" s="20"/>
      <c r="I57" s="20"/>
      <c r="J57" s="20"/>
      <c r="K57" s="20"/>
      <c r="L57" s="20"/>
      <c r="M57" s="20"/>
      <c r="N57" s="20"/>
      <c r="O57" s="20"/>
      <c r="P57" s="20"/>
      <c r="Q57" s="20"/>
      <c r="R57" s="20"/>
    </row>
    <row r="58" spans="1:18" ht="12.75" customHeight="1">
      <c r="A58" s="379" t="s">
        <v>666</v>
      </c>
      <c r="B58" s="251"/>
      <c r="C58" s="251"/>
      <c r="D58" s="251"/>
      <c r="E58" s="251"/>
      <c r="F58" s="251"/>
      <c r="G58" s="251"/>
      <c r="H58" s="251"/>
      <c r="I58" s="251"/>
    </row>
    <row r="59" spans="1:18" ht="12.75" customHeight="1">
      <c r="A59" s="380" t="s">
        <v>762</v>
      </c>
      <c r="B59" s="251"/>
      <c r="C59" s="251"/>
      <c r="D59" s="251"/>
      <c r="E59" s="251"/>
      <c r="F59" s="251"/>
      <c r="G59" s="251"/>
      <c r="H59" s="251"/>
      <c r="I59" s="251"/>
    </row>
    <row r="60" spans="1:18" ht="15.75" customHeight="1">
      <c r="A60" s="136" t="s">
        <v>763</v>
      </c>
      <c r="B60" s="251"/>
      <c r="C60" s="251"/>
      <c r="D60" s="251"/>
      <c r="E60" s="251"/>
      <c r="F60" s="251"/>
      <c r="G60" s="251"/>
      <c r="H60" s="251"/>
      <c r="I60" s="251"/>
    </row>
    <row r="61" spans="1:18" ht="15.75" customHeight="1">
      <c r="A61" s="379" t="s">
        <v>766</v>
      </c>
      <c r="B61" s="251"/>
      <c r="C61" s="251"/>
      <c r="D61" s="251"/>
      <c r="E61" s="251"/>
      <c r="F61" s="251"/>
      <c r="G61" s="251"/>
      <c r="H61" s="251"/>
      <c r="I61" s="251"/>
    </row>
    <row r="62" spans="1:18" ht="15.75" customHeight="1">
      <c r="A62" s="379" t="s">
        <v>3</v>
      </c>
      <c r="B62" s="251"/>
      <c r="C62" s="251"/>
      <c r="D62" s="251"/>
      <c r="E62" s="251"/>
      <c r="F62" s="251"/>
      <c r="G62" s="251"/>
      <c r="H62" s="251"/>
      <c r="I62" s="251"/>
    </row>
    <row r="63" spans="1:18" ht="15.75" hidden="1" customHeight="1">
      <c r="A63" s="251">
        <v>1.732</v>
      </c>
      <c r="B63" s="251"/>
      <c r="C63" s="251"/>
      <c r="D63" s="251"/>
      <c r="E63" s="251"/>
      <c r="F63" s="251"/>
      <c r="G63" s="251"/>
      <c r="H63" s="251"/>
      <c r="I63" s="251"/>
    </row>
    <row r="64" spans="1:18" ht="15.75" hidden="1" customHeight="1">
      <c r="A64" s="251">
        <v>2</v>
      </c>
      <c r="B64" s="251"/>
      <c r="C64" s="251"/>
      <c r="D64" s="251"/>
      <c r="E64" s="251"/>
      <c r="F64" s="251"/>
      <c r="G64" s="251"/>
      <c r="H64" s="251"/>
      <c r="I64" s="251"/>
    </row>
    <row r="65" spans="1:9" ht="15.75" hidden="1" customHeight="1">
      <c r="A65" s="251"/>
      <c r="B65" s="251"/>
      <c r="C65" s="251"/>
      <c r="D65" s="251"/>
      <c r="E65" s="251"/>
      <c r="F65" s="251"/>
      <c r="G65" s="251"/>
      <c r="H65" s="251"/>
      <c r="I65" s="251"/>
    </row>
    <row r="66" spans="1:9" ht="15.75" hidden="1" customHeight="1">
      <c r="A66" s="251">
        <v>21.2</v>
      </c>
      <c r="B66" s="251"/>
      <c r="C66" s="251"/>
      <c r="D66" s="251"/>
      <c r="E66" s="251"/>
      <c r="F66" s="251"/>
      <c r="G66" s="251"/>
      <c r="H66" s="251"/>
      <c r="I66" s="251"/>
    </row>
    <row r="67" spans="1:9" ht="15.75" hidden="1" customHeight="1">
      <c r="A67" s="251">
        <v>12.9</v>
      </c>
      <c r="B67" s="251"/>
      <c r="C67" s="251"/>
      <c r="D67" s="251"/>
      <c r="E67" s="251"/>
      <c r="F67" s="251"/>
      <c r="G67" s="251"/>
      <c r="H67" s="251"/>
      <c r="I67" s="251"/>
    </row>
    <row r="68" spans="1:9" ht="15.75" hidden="1" customHeight="1">
      <c r="A68" s="366"/>
      <c r="B68" s="251"/>
      <c r="C68" s="251"/>
      <c r="D68" s="251"/>
      <c r="E68" s="251"/>
      <c r="F68" s="251"/>
      <c r="G68" s="251"/>
      <c r="H68" s="251"/>
      <c r="I68" s="251"/>
    </row>
    <row r="69" spans="1:9" ht="15.75" customHeight="1">
      <c r="A69" s="366"/>
      <c r="B69" s="251"/>
      <c r="C69" s="251"/>
      <c r="D69" s="251"/>
      <c r="E69" s="251"/>
      <c r="F69" s="251"/>
      <c r="G69" s="251"/>
      <c r="H69" s="251"/>
      <c r="I69" s="251"/>
    </row>
    <row r="70" spans="1:9" ht="15.75" customHeight="1">
      <c r="A70" s="366"/>
      <c r="B70" s="251"/>
      <c r="C70" s="251"/>
      <c r="D70" s="251"/>
      <c r="E70" s="251"/>
      <c r="F70" s="251"/>
      <c r="G70" s="251"/>
      <c r="H70" s="251"/>
      <c r="I70" s="251"/>
    </row>
    <row r="71" spans="1:9" ht="15.75" customHeight="1">
      <c r="A71" s="366"/>
      <c r="B71" s="251"/>
      <c r="C71" s="251"/>
      <c r="D71" s="251"/>
      <c r="E71" s="251"/>
      <c r="F71" s="251"/>
      <c r="G71" s="251"/>
      <c r="H71" s="251"/>
      <c r="I71" s="251"/>
    </row>
    <row r="72" spans="1:9" ht="15.75" customHeight="1">
      <c r="A72" s="366"/>
      <c r="B72" s="251"/>
      <c r="C72" s="251"/>
      <c r="D72" s="251"/>
      <c r="E72" s="251"/>
      <c r="F72" s="251"/>
      <c r="G72" s="251"/>
      <c r="H72" s="251"/>
      <c r="I72" s="251"/>
    </row>
  </sheetData>
  <sheetProtection algorithmName="SHA-512" hashValue="FLUpuXL/5qzLyiApt2E1CaRe3zMZdsnSdKRf4zQ9UIZQjAvZEVMheV5OQMO7IP+2oQzuN8UeGTAspG9zBrGrbA==" saltValue="x4YTw+v/hJNpcoH/PrkpGA==" spinCount="100000" sheet="1" objects="1" scenarios="1"/>
  <mergeCells count="3">
    <mergeCell ref="D8:Q8"/>
    <mergeCell ref="D34:Q34"/>
    <mergeCell ref="P1:Q1"/>
  </mergeCells>
  <conditionalFormatting sqref="D10:Q31 D36:Q56">
    <cfRule type="cellIs" dxfId="8" priority="3" stopIfTrue="1" operator="greaterThan">
      <formula>$B10</formula>
    </cfRule>
  </conditionalFormatting>
  <dataValidations count="1">
    <dataValidation type="list" allowBlank="1" showInputMessage="1" showErrorMessage="1" prompt="Use 1.732 for 3 Phase or 2 for Single Phase" sqref="B3" xr:uid="{00000000-0002-0000-0300-000000000000}">
      <formula1>$A$63:$A$64</formula1>
    </dataValidation>
  </dataValidations>
  <pageMargins left="0.78749999999999998" right="0.78749999999999998" top="0.78749999999999998" bottom="0.78749999999999998" header="0.51180555555555596" footer="0.51180555555555596"/>
  <pageSetup scale="87" firstPageNumber="0" fitToHeight="2" orientation="landscape" horizontalDpi="300" verticalDpi="300" r:id="rId1"/>
  <headerFooter alignWithMargins="0"/>
  <rowBreaks count="1" manualBreakCount="1">
    <brk id="32"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7030A0"/>
    <pageSetUpPr fitToPage="1"/>
  </sheetPr>
  <dimension ref="A1:P41"/>
  <sheetViews>
    <sheetView zoomScale="75" zoomScaleNormal="75" workbookViewId="0">
      <selection activeCell="H34" sqref="H34"/>
    </sheetView>
  </sheetViews>
  <sheetFormatPr defaultColWidth="17.28515625" defaultRowHeight="15.75" customHeight="1"/>
  <cols>
    <col min="1" max="1" width="14.42578125" style="138" bestFit="1" customWidth="1"/>
    <col min="2" max="2" width="4.7109375" style="138" bestFit="1" customWidth="1"/>
    <col min="3" max="3" width="17.28515625" style="138" bestFit="1" customWidth="1"/>
    <col min="4" max="4" width="22" style="138" bestFit="1" customWidth="1"/>
    <col min="5" max="5" width="17.28515625" style="138" bestFit="1" customWidth="1"/>
    <col min="6" max="6" width="22" style="138" bestFit="1" customWidth="1"/>
    <col min="7" max="7" width="17.28515625" style="138" bestFit="1" customWidth="1"/>
    <col min="8" max="8" width="22" style="138" bestFit="1" customWidth="1"/>
    <col min="9" max="9" width="17.28515625" style="138" bestFit="1" customWidth="1"/>
    <col min="10" max="10" width="22" style="138" bestFit="1" customWidth="1"/>
    <col min="11" max="11" width="17.28515625" style="138" bestFit="1" customWidth="1"/>
    <col min="12" max="12" width="22" style="138" bestFit="1" customWidth="1"/>
    <col min="13" max="13" width="17.28515625" style="138" bestFit="1" customWidth="1"/>
    <col min="14" max="14" width="22" style="138" bestFit="1" customWidth="1"/>
    <col min="15" max="15" width="14.42578125" style="138" bestFit="1" customWidth="1"/>
    <col min="16" max="16" width="4.7109375" style="239" bestFit="1" customWidth="1"/>
    <col min="17" max="16384" width="17.28515625" style="138"/>
  </cols>
  <sheetData>
    <row r="1" spans="1:14" ht="12.95" customHeight="1">
      <c r="A1" s="1312" t="s">
        <v>263</v>
      </c>
      <c r="B1" s="1312"/>
      <c r="C1" s="1312"/>
      <c r="D1" s="1312"/>
      <c r="E1" s="1312"/>
      <c r="F1" s="1312"/>
      <c r="G1" s="1312"/>
      <c r="H1" s="1312"/>
      <c r="I1" s="139"/>
      <c r="J1" s="139"/>
      <c r="K1" s="139"/>
      <c r="L1" s="139"/>
      <c r="M1" s="139"/>
      <c r="N1" s="139"/>
    </row>
    <row r="2" spans="1:14" ht="12.95" customHeight="1">
      <c r="A2" s="139"/>
      <c r="B2" s="139"/>
      <c r="C2" s="140"/>
      <c r="D2" s="140"/>
      <c r="E2" s="140"/>
      <c r="F2" s="140"/>
      <c r="G2" s="140"/>
      <c r="H2" s="140"/>
      <c r="I2" s="140"/>
      <c r="J2" s="140"/>
      <c r="K2" s="140"/>
      <c r="L2" s="140"/>
      <c r="M2" s="140"/>
      <c r="N2" s="140"/>
    </row>
    <row r="3" spans="1:14" ht="12.75" customHeight="1">
      <c r="A3" s="284"/>
      <c r="B3" s="286"/>
      <c r="C3" s="1313" t="s">
        <v>264</v>
      </c>
      <c r="D3" s="1313"/>
      <c r="E3" s="1314" t="s">
        <v>265</v>
      </c>
      <c r="F3" s="1314"/>
      <c r="G3" s="1313" t="s">
        <v>266</v>
      </c>
      <c r="H3" s="1313"/>
    </row>
    <row r="4" spans="1:14" ht="24">
      <c r="A4" s="285" t="s">
        <v>270</v>
      </c>
      <c r="B4" s="287" t="s">
        <v>275</v>
      </c>
      <c r="C4" s="441" t="s">
        <v>271</v>
      </c>
      <c r="D4" s="441" t="s">
        <v>272</v>
      </c>
      <c r="E4" s="285" t="s">
        <v>271</v>
      </c>
      <c r="F4" s="285" t="s">
        <v>272</v>
      </c>
      <c r="G4" s="441" t="s">
        <v>271</v>
      </c>
      <c r="H4" s="441" t="s">
        <v>272</v>
      </c>
    </row>
    <row r="5" spans="1:14" ht="12.75" customHeight="1">
      <c r="A5" s="284">
        <v>10</v>
      </c>
      <c r="B5" s="288">
        <f>A5*0.746</f>
        <v>7.46</v>
      </c>
      <c r="C5" s="442">
        <v>3</v>
      </c>
      <c r="D5" s="442">
        <v>10</v>
      </c>
      <c r="E5" s="284">
        <v>3</v>
      </c>
      <c r="F5" s="284">
        <v>11</v>
      </c>
      <c r="G5" s="442">
        <v>3.5</v>
      </c>
      <c r="H5" s="442">
        <v>14</v>
      </c>
    </row>
    <row r="6" spans="1:14" ht="12.75" customHeight="1">
      <c r="A6" s="284">
        <v>15</v>
      </c>
      <c r="B6" s="363">
        <f t="shared" ref="B6:B19" si="0">A6*0.746</f>
        <v>11.19</v>
      </c>
      <c r="C6" s="442">
        <v>4</v>
      </c>
      <c r="D6" s="442">
        <v>9</v>
      </c>
      <c r="E6" s="284">
        <v>4</v>
      </c>
      <c r="F6" s="284">
        <v>10</v>
      </c>
      <c r="G6" s="442">
        <v>5</v>
      </c>
      <c r="H6" s="442">
        <v>13</v>
      </c>
    </row>
    <row r="7" spans="1:14" ht="12.75" customHeight="1">
      <c r="A7" s="284">
        <v>20</v>
      </c>
      <c r="B7" s="363">
        <f t="shared" si="0"/>
        <v>14.92</v>
      </c>
      <c r="C7" s="442">
        <v>5</v>
      </c>
      <c r="D7" s="442">
        <v>9</v>
      </c>
      <c r="E7" s="284">
        <v>5</v>
      </c>
      <c r="F7" s="284">
        <v>10</v>
      </c>
      <c r="G7" s="442">
        <v>6.5</v>
      </c>
      <c r="H7" s="442">
        <v>12</v>
      </c>
    </row>
    <row r="8" spans="1:14" ht="12.75" customHeight="1">
      <c r="A8" s="284">
        <v>25</v>
      </c>
      <c r="B8" s="363">
        <f t="shared" si="0"/>
        <v>18.649999999999999</v>
      </c>
      <c r="C8" s="442">
        <v>6</v>
      </c>
      <c r="D8" s="442">
        <v>9</v>
      </c>
      <c r="E8" s="284">
        <v>6</v>
      </c>
      <c r="F8" s="284">
        <v>10</v>
      </c>
      <c r="G8" s="442">
        <v>7.5</v>
      </c>
      <c r="H8" s="442">
        <v>11</v>
      </c>
    </row>
    <row r="9" spans="1:14" ht="12.75" customHeight="1">
      <c r="A9" s="284">
        <v>30</v>
      </c>
      <c r="B9" s="363">
        <f t="shared" si="0"/>
        <v>22.38</v>
      </c>
      <c r="C9" s="442">
        <v>7</v>
      </c>
      <c r="D9" s="442">
        <v>8</v>
      </c>
      <c r="E9" s="284">
        <v>7</v>
      </c>
      <c r="F9" s="284">
        <v>9</v>
      </c>
      <c r="G9" s="442">
        <v>9</v>
      </c>
      <c r="H9" s="442">
        <v>11</v>
      </c>
    </row>
    <row r="10" spans="1:14" ht="12.75" customHeight="1">
      <c r="A10" s="284"/>
      <c r="B10" s="363" t="s">
        <v>35</v>
      </c>
      <c r="C10" s="442"/>
      <c r="D10" s="442"/>
      <c r="E10" s="284"/>
      <c r="F10" s="284"/>
      <c r="G10" s="442"/>
      <c r="H10" s="442"/>
    </row>
    <row r="11" spans="1:14" ht="12.75" customHeight="1">
      <c r="A11" s="284">
        <v>40</v>
      </c>
      <c r="B11" s="363">
        <f t="shared" si="0"/>
        <v>29.84</v>
      </c>
      <c r="C11" s="442">
        <v>9</v>
      </c>
      <c r="D11" s="442">
        <v>8</v>
      </c>
      <c r="E11" s="284">
        <v>9</v>
      </c>
      <c r="F11" s="284">
        <v>9</v>
      </c>
      <c r="G11" s="442">
        <v>11</v>
      </c>
      <c r="H11" s="442">
        <v>10</v>
      </c>
    </row>
    <row r="12" spans="1:14" ht="12.75" customHeight="1">
      <c r="A12" s="284">
        <v>50</v>
      </c>
      <c r="B12" s="363">
        <f t="shared" si="0"/>
        <v>37.299999999999997</v>
      </c>
      <c r="C12" s="442">
        <v>12</v>
      </c>
      <c r="D12" s="442">
        <v>8</v>
      </c>
      <c r="E12" s="284">
        <v>11</v>
      </c>
      <c r="F12" s="284">
        <v>9</v>
      </c>
      <c r="G12" s="442">
        <v>13</v>
      </c>
      <c r="H12" s="442">
        <v>10</v>
      </c>
    </row>
    <row r="13" spans="1:14" ht="12.75" customHeight="1">
      <c r="A13" s="284">
        <v>60</v>
      </c>
      <c r="B13" s="363">
        <f t="shared" si="0"/>
        <v>44.76</v>
      </c>
      <c r="C13" s="442">
        <v>14</v>
      </c>
      <c r="D13" s="442">
        <v>8</v>
      </c>
      <c r="E13" s="284">
        <v>14</v>
      </c>
      <c r="F13" s="284">
        <v>8</v>
      </c>
      <c r="G13" s="442">
        <v>15</v>
      </c>
      <c r="H13" s="442">
        <v>10</v>
      </c>
    </row>
    <row r="14" spans="1:14" ht="12.75" customHeight="1">
      <c r="A14" s="284">
        <v>75</v>
      </c>
      <c r="B14" s="363">
        <f t="shared" si="0"/>
        <v>55.95</v>
      </c>
      <c r="C14" s="442">
        <v>17</v>
      </c>
      <c r="D14" s="442">
        <v>8</v>
      </c>
      <c r="E14" s="284">
        <v>16</v>
      </c>
      <c r="F14" s="284">
        <v>8</v>
      </c>
      <c r="G14" s="442">
        <v>18</v>
      </c>
      <c r="H14" s="442">
        <v>10</v>
      </c>
    </row>
    <row r="15" spans="1:14" ht="12.75" customHeight="1">
      <c r="A15" s="284"/>
      <c r="B15" s="363" t="s">
        <v>35</v>
      </c>
      <c r="C15" s="442"/>
      <c r="D15" s="442"/>
      <c r="E15" s="284"/>
      <c r="F15" s="284"/>
      <c r="G15" s="442"/>
      <c r="H15" s="442"/>
    </row>
    <row r="16" spans="1:14" ht="12.75" customHeight="1">
      <c r="A16" s="284">
        <v>100</v>
      </c>
      <c r="B16" s="363">
        <f t="shared" si="0"/>
        <v>74.599999999999994</v>
      </c>
      <c r="C16" s="442">
        <v>22</v>
      </c>
      <c r="D16" s="442">
        <v>8</v>
      </c>
      <c r="E16" s="284">
        <v>21</v>
      </c>
      <c r="F16" s="284">
        <v>8</v>
      </c>
      <c r="G16" s="442">
        <v>25</v>
      </c>
      <c r="H16" s="442">
        <v>9</v>
      </c>
    </row>
    <row r="17" spans="1:16" ht="12.75" customHeight="1">
      <c r="A17" s="284">
        <v>125</v>
      </c>
      <c r="B17" s="363">
        <f t="shared" si="0"/>
        <v>93.25</v>
      </c>
      <c r="C17" s="442">
        <v>27</v>
      </c>
      <c r="D17" s="442">
        <v>8</v>
      </c>
      <c r="E17" s="284">
        <v>26</v>
      </c>
      <c r="F17" s="284">
        <v>8</v>
      </c>
      <c r="G17" s="442">
        <v>30</v>
      </c>
      <c r="H17" s="442">
        <v>9</v>
      </c>
    </row>
    <row r="18" spans="1:16" ht="12.75" customHeight="1">
      <c r="A18" s="284">
        <v>150</v>
      </c>
      <c r="B18" s="363">
        <f t="shared" si="0"/>
        <v>111.9</v>
      </c>
      <c r="C18" s="442">
        <v>32.5</v>
      </c>
      <c r="D18" s="442">
        <v>8</v>
      </c>
      <c r="E18" s="284">
        <v>30</v>
      </c>
      <c r="F18" s="284">
        <v>8</v>
      </c>
      <c r="G18" s="442">
        <v>35</v>
      </c>
      <c r="H18" s="442">
        <v>9</v>
      </c>
    </row>
    <row r="19" spans="1:16" ht="12.75" customHeight="1">
      <c r="A19" s="284">
        <v>200</v>
      </c>
      <c r="B19" s="363">
        <f t="shared" si="0"/>
        <v>149.19999999999999</v>
      </c>
      <c r="C19" s="442">
        <v>40</v>
      </c>
      <c r="D19" s="442">
        <v>8</v>
      </c>
      <c r="E19" s="284">
        <v>37.5</v>
      </c>
      <c r="F19" s="284">
        <v>8</v>
      </c>
      <c r="G19" s="442">
        <v>42.5</v>
      </c>
      <c r="H19" s="442">
        <v>9</v>
      </c>
    </row>
    <row r="20" spans="1:16" ht="12.75" customHeight="1">
      <c r="A20" s="4"/>
      <c r="B20" s="4"/>
      <c r="C20" s="4"/>
      <c r="D20" s="4"/>
      <c r="E20" s="4"/>
      <c r="F20" s="4"/>
      <c r="G20" s="4"/>
      <c r="H20" s="4"/>
      <c r="I20" s="4"/>
      <c r="J20" s="4"/>
      <c r="K20" s="4"/>
      <c r="L20" s="4"/>
      <c r="M20" s="4"/>
      <c r="N20" s="4"/>
    </row>
    <row r="21" spans="1:16" s="445" customFormat="1" ht="12.75" customHeight="1">
      <c r="A21" s="443"/>
      <c r="B21" s="444"/>
      <c r="C21" s="1313" t="s">
        <v>267</v>
      </c>
      <c r="D21" s="1313"/>
      <c r="E21" s="1315" t="s">
        <v>268</v>
      </c>
      <c r="F21" s="1315"/>
      <c r="G21" s="1313" t="s">
        <v>269</v>
      </c>
      <c r="H21" s="1313"/>
      <c r="P21" s="446"/>
    </row>
    <row r="22" spans="1:16" s="445" customFormat="1" ht="24">
      <c r="A22" s="447" t="s">
        <v>270</v>
      </c>
      <c r="B22" s="448" t="s">
        <v>275</v>
      </c>
      <c r="C22" s="441" t="s">
        <v>271</v>
      </c>
      <c r="D22" s="441" t="s">
        <v>272</v>
      </c>
      <c r="E22" s="447" t="s">
        <v>271</v>
      </c>
      <c r="F22" s="447" t="s">
        <v>272</v>
      </c>
      <c r="G22" s="441" t="s">
        <v>271</v>
      </c>
      <c r="H22" s="441" t="s">
        <v>272</v>
      </c>
      <c r="P22" s="446"/>
    </row>
    <row r="23" spans="1:16" s="445" customFormat="1" ht="15.75" customHeight="1">
      <c r="A23" s="449">
        <v>10</v>
      </c>
      <c r="B23" s="450">
        <f>A23*0.746</f>
        <v>7.46</v>
      </c>
      <c r="C23" s="442">
        <v>5</v>
      </c>
      <c r="D23" s="442">
        <v>21</v>
      </c>
      <c r="E23" s="449">
        <v>6.5</v>
      </c>
      <c r="F23" s="449">
        <v>27</v>
      </c>
      <c r="G23" s="442">
        <v>7.5</v>
      </c>
      <c r="H23" s="442">
        <v>31</v>
      </c>
      <c r="P23" s="446"/>
    </row>
    <row r="24" spans="1:16" s="445" customFormat="1" ht="15.75" customHeight="1">
      <c r="A24" s="449">
        <v>15</v>
      </c>
      <c r="B24" s="451">
        <f t="shared" ref="B24:B37" si="1">A24*0.746</f>
        <v>11.19</v>
      </c>
      <c r="C24" s="442">
        <v>6.5</v>
      </c>
      <c r="D24" s="442">
        <v>18</v>
      </c>
      <c r="E24" s="449">
        <v>8</v>
      </c>
      <c r="F24" s="449">
        <v>23</v>
      </c>
      <c r="G24" s="442">
        <v>9.5</v>
      </c>
      <c r="H24" s="442">
        <v>27</v>
      </c>
      <c r="P24" s="446"/>
    </row>
    <row r="25" spans="1:16" s="445" customFormat="1" ht="15.75" customHeight="1">
      <c r="A25" s="449">
        <v>20</v>
      </c>
      <c r="B25" s="451">
        <f t="shared" si="1"/>
        <v>14.92</v>
      </c>
      <c r="C25" s="442">
        <v>7.5</v>
      </c>
      <c r="D25" s="442">
        <v>16</v>
      </c>
      <c r="E25" s="449">
        <v>9</v>
      </c>
      <c r="F25" s="449">
        <v>21</v>
      </c>
      <c r="G25" s="442">
        <v>12</v>
      </c>
      <c r="H25" s="442">
        <v>25</v>
      </c>
      <c r="P25" s="446"/>
    </row>
    <row r="26" spans="1:16" s="445" customFormat="1" ht="15.75" customHeight="1">
      <c r="A26" s="449">
        <v>25</v>
      </c>
      <c r="B26" s="451">
        <f t="shared" si="1"/>
        <v>18.649999999999999</v>
      </c>
      <c r="C26" s="442">
        <v>9</v>
      </c>
      <c r="D26" s="442">
        <v>15</v>
      </c>
      <c r="E26" s="449">
        <v>11</v>
      </c>
      <c r="F26" s="449">
        <v>20</v>
      </c>
      <c r="G26" s="442">
        <v>12</v>
      </c>
      <c r="H26" s="442">
        <v>23</v>
      </c>
      <c r="P26" s="446"/>
    </row>
    <row r="27" spans="1:16" s="445" customFormat="1" ht="15.75" customHeight="1">
      <c r="A27" s="449">
        <v>30</v>
      </c>
      <c r="B27" s="451">
        <f t="shared" si="1"/>
        <v>22.38</v>
      </c>
      <c r="C27" s="442">
        <v>10</v>
      </c>
      <c r="D27" s="442">
        <v>14</v>
      </c>
      <c r="E27" s="449">
        <v>12</v>
      </c>
      <c r="F27" s="449">
        <v>18</v>
      </c>
      <c r="G27" s="442">
        <v>14</v>
      </c>
      <c r="H27" s="442">
        <v>22</v>
      </c>
      <c r="P27" s="446"/>
    </row>
    <row r="28" spans="1:16" s="445" customFormat="1" ht="15.75" customHeight="1">
      <c r="A28" s="449"/>
      <c r="B28" s="451" t="s">
        <v>35</v>
      </c>
      <c r="C28" s="442"/>
      <c r="D28" s="442"/>
      <c r="E28" s="449"/>
      <c r="F28" s="449"/>
      <c r="G28" s="442"/>
      <c r="H28" s="442"/>
      <c r="P28" s="446"/>
    </row>
    <row r="29" spans="1:16" s="445" customFormat="1" ht="15.75" customHeight="1">
      <c r="A29" s="449">
        <v>40</v>
      </c>
      <c r="B29" s="451">
        <f t="shared" si="1"/>
        <v>29.84</v>
      </c>
      <c r="C29" s="442">
        <v>12</v>
      </c>
      <c r="D29" s="442">
        <v>13</v>
      </c>
      <c r="E29" s="449">
        <v>15</v>
      </c>
      <c r="F29" s="449">
        <v>16</v>
      </c>
      <c r="G29" s="442">
        <v>20</v>
      </c>
      <c r="H29" s="442">
        <v>20</v>
      </c>
      <c r="P29" s="446"/>
    </row>
    <row r="30" spans="1:16" s="445" customFormat="1" ht="15.75" customHeight="1">
      <c r="A30" s="449">
        <v>50</v>
      </c>
      <c r="B30" s="451">
        <f t="shared" si="1"/>
        <v>37.299999999999997</v>
      </c>
      <c r="C30" s="442">
        <v>15</v>
      </c>
      <c r="D30" s="442">
        <v>12</v>
      </c>
      <c r="E30" s="449">
        <v>19</v>
      </c>
      <c r="F30" s="449">
        <v>15</v>
      </c>
      <c r="G30" s="442">
        <v>24</v>
      </c>
      <c r="H30" s="442">
        <v>19</v>
      </c>
      <c r="P30" s="446"/>
    </row>
    <row r="31" spans="1:16" s="445" customFormat="1" ht="15.75" customHeight="1">
      <c r="A31" s="449">
        <v>60</v>
      </c>
      <c r="B31" s="451">
        <f t="shared" si="1"/>
        <v>44.76</v>
      </c>
      <c r="C31" s="442">
        <v>18</v>
      </c>
      <c r="D31" s="442">
        <v>11</v>
      </c>
      <c r="E31" s="449">
        <v>22</v>
      </c>
      <c r="F31" s="449">
        <v>15</v>
      </c>
      <c r="G31" s="442">
        <v>27</v>
      </c>
      <c r="H31" s="442">
        <v>19</v>
      </c>
      <c r="P31" s="446"/>
    </row>
    <row r="32" spans="1:16" s="445" customFormat="1" ht="15.75" customHeight="1">
      <c r="A32" s="449">
        <v>75</v>
      </c>
      <c r="B32" s="451">
        <f t="shared" si="1"/>
        <v>55.95</v>
      </c>
      <c r="C32" s="442">
        <v>21</v>
      </c>
      <c r="D32" s="442">
        <v>10</v>
      </c>
      <c r="E32" s="449">
        <v>26</v>
      </c>
      <c r="F32" s="449">
        <v>14</v>
      </c>
      <c r="G32" s="442">
        <v>32.5</v>
      </c>
      <c r="H32" s="442">
        <v>18</v>
      </c>
      <c r="P32" s="446"/>
    </row>
    <row r="33" spans="1:16" s="445" customFormat="1" ht="15.75" customHeight="1">
      <c r="A33" s="449"/>
      <c r="B33" s="451" t="s">
        <v>35</v>
      </c>
      <c r="C33" s="442"/>
      <c r="D33" s="442"/>
      <c r="E33" s="449"/>
      <c r="F33" s="449"/>
      <c r="G33" s="442"/>
      <c r="H33" s="442"/>
      <c r="P33" s="446"/>
    </row>
    <row r="34" spans="1:16" s="445" customFormat="1" ht="15.75" customHeight="1">
      <c r="A34" s="449">
        <v>100</v>
      </c>
      <c r="B34" s="451">
        <f t="shared" si="1"/>
        <v>74.599999999999994</v>
      </c>
      <c r="C34" s="442">
        <v>27</v>
      </c>
      <c r="D34" s="442">
        <v>10</v>
      </c>
      <c r="E34" s="449">
        <v>32.5</v>
      </c>
      <c r="F34" s="449">
        <v>13</v>
      </c>
      <c r="G34" s="442">
        <v>40</v>
      </c>
      <c r="H34" s="442">
        <v>17</v>
      </c>
      <c r="P34" s="446"/>
    </row>
    <row r="35" spans="1:16" s="445" customFormat="1" ht="15.75" customHeight="1">
      <c r="A35" s="449">
        <v>125</v>
      </c>
      <c r="B35" s="451">
        <f t="shared" si="1"/>
        <v>93.25</v>
      </c>
      <c r="C35" s="442">
        <v>32.5</v>
      </c>
      <c r="D35" s="442">
        <v>10</v>
      </c>
      <c r="E35" s="449">
        <v>40</v>
      </c>
      <c r="F35" s="449">
        <v>13</v>
      </c>
      <c r="G35" s="442">
        <v>47.5</v>
      </c>
      <c r="H35" s="442">
        <v>16</v>
      </c>
      <c r="P35" s="446"/>
    </row>
    <row r="36" spans="1:16" s="445" customFormat="1" ht="15.75" customHeight="1">
      <c r="A36" s="449">
        <v>150</v>
      </c>
      <c r="B36" s="451">
        <f t="shared" si="1"/>
        <v>111.9</v>
      </c>
      <c r="C36" s="442">
        <v>37.5</v>
      </c>
      <c r="D36" s="442">
        <v>10</v>
      </c>
      <c r="E36" s="449">
        <v>47.5</v>
      </c>
      <c r="F36" s="449">
        <v>12</v>
      </c>
      <c r="G36" s="442">
        <v>52.5</v>
      </c>
      <c r="H36" s="442">
        <v>15</v>
      </c>
      <c r="P36" s="446"/>
    </row>
    <row r="37" spans="1:16" s="445" customFormat="1" ht="15.75" customHeight="1">
      <c r="A37" s="449">
        <v>200</v>
      </c>
      <c r="B37" s="451">
        <f t="shared" si="1"/>
        <v>149.19999999999999</v>
      </c>
      <c r="C37" s="442">
        <v>47.5</v>
      </c>
      <c r="D37" s="442">
        <v>10</v>
      </c>
      <c r="E37" s="449">
        <v>60</v>
      </c>
      <c r="F37" s="449">
        <v>12</v>
      </c>
      <c r="G37" s="442">
        <v>65</v>
      </c>
      <c r="H37" s="442">
        <v>14</v>
      </c>
      <c r="P37" s="446"/>
    </row>
    <row r="38" spans="1:16" s="445" customFormat="1" ht="15.75" customHeight="1">
      <c r="P38" s="446"/>
    </row>
    <row r="39" spans="1:16" s="445" customFormat="1" ht="15.75" customHeight="1">
      <c r="P39" s="446"/>
    </row>
    <row r="40" spans="1:16" s="445" customFormat="1" ht="15.75" customHeight="1">
      <c r="P40" s="446"/>
    </row>
    <row r="41" spans="1:16" s="445" customFormat="1" ht="15.75" customHeight="1">
      <c r="P41" s="446"/>
    </row>
  </sheetData>
  <sheetProtection algorithmName="SHA-512" hashValue="jywi9owiOuV+GodLbCSav34q1IcHOb0BdxRakBc+geU/onOrjCj4aO/0CRzTSudJdH03zhu2g5Z20LLmJItfCQ==" saltValue="1xtdbkX6F6x2RhwSPIJDug==" spinCount="100000" sheet="1" objects="1" scenarios="1" selectLockedCells="1" selectUnlockedCells="1"/>
  <mergeCells count="7">
    <mergeCell ref="A1:H1"/>
    <mergeCell ref="C3:D3"/>
    <mergeCell ref="E3:F3"/>
    <mergeCell ref="G3:H3"/>
    <mergeCell ref="C21:D21"/>
    <mergeCell ref="E21:F21"/>
    <mergeCell ref="G21:H21"/>
  </mergeCells>
  <pageMargins left="0.74791666666666667" right="0.74791666666666667" top="0.98402777777777772" bottom="0.98402777777777772" header="0.51180555555555551" footer="0.51180555555555551"/>
  <pageSetup scale="87" firstPageNumber="0" orientation="landscape" horizontalDpi="300" verticalDpi="300"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7030A0"/>
    <pageSetUpPr fitToPage="1"/>
  </sheetPr>
  <dimension ref="A1:IU52"/>
  <sheetViews>
    <sheetView workbookViewId="0">
      <selection activeCell="A37" sqref="A37:A38"/>
    </sheetView>
  </sheetViews>
  <sheetFormatPr defaultColWidth="11.5703125" defaultRowHeight="15.75" customHeight="1"/>
  <cols>
    <col min="1" max="1" width="17.140625" style="266" customWidth="1"/>
    <col min="2" max="7" width="10.85546875" style="266" customWidth="1"/>
    <col min="8" max="254" width="17.28515625" style="266" customWidth="1"/>
    <col min="255" max="16384" width="11.5703125" style="456"/>
  </cols>
  <sheetData>
    <row r="1" spans="1:255" s="454" customFormat="1" ht="12.75">
      <c r="A1" s="452" t="s">
        <v>273</v>
      </c>
      <c r="B1" s="330"/>
      <c r="C1" s="453"/>
      <c r="D1" s="453"/>
      <c r="E1" s="453"/>
      <c r="F1" s="453"/>
      <c r="G1" s="453"/>
      <c r="IU1" s="455"/>
    </row>
    <row r="2" spans="1:255" s="454" customFormat="1" ht="12.75">
      <c r="A2" s="452" t="s">
        <v>274</v>
      </c>
      <c r="B2" s="330"/>
      <c r="C2" s="453"/>
      <c r="D2" s="453"/>
      <c r="E2" s="453"/>
      <c r="F2" s="453"/>
      <c r="G2" s="453"/>
      <c r="IU2" s="455"/>
    </row>
    <row r="3" spans="1:255" s="454" customFormat="1" ht="12.95" customHeight="1">
      <c r="A3" s="330"/>
      <c r="B3" s="330"/>
      <c r="C3" s="453"/>
      <c r="D3" s="453"/>
      <c r="E3" s="453"/>
      <c r="F3" s="453"/>
      <c r="G3" s="453"/>
      <c r="IU3" s="455"/>
    </row>
    <row r="4" spans="1:255" ht="18" customHeight="1">
      <c r="A4" s="1166">
        <v>55</v>
      </c>
      <c r="B4" s="1163" t="s">
        <v>275</v>
      </c>
      <c r="C4" s="1164"/>
      <c r="D4" s="1164"/>
      <c r="E4" s="1164"/>
      <c r="F4" s="1164"/>
      <c r="G4" s="1164"/>
    </row>
    <row r="5" spans="1:255" ht="12.75" customHeight="1">
      <c r="A5" s="1164"/>
      <c r="B5" s="1164"/>
      <c r="C5" s="1164"/>
      <c r="D5" s="1164"/>
      <c r="E5" s="1164"/>
      <c r="F5" s="1164"/>
      <c r="G5" s="1164"/>
    </row>
    <row r="6" spans="1:255" ht="31.5" customHeight="1">
      <c r="A6" s="457" t="s">
        <v>276</v>
      </c>
      <c r="B6" s="1316" t="s">
        <v>277</v>
      </c>
      <c r="C6" s="1316"/>
      <c r="D6" s="1316"/>
      <c r="E6" s="1316"/>
      <c r="F6" s="1316"/>
      <c r="G6" s="1316"/>
    </row>
    <row r="7" spans="1:255" ht="12.75" customHeight="1">
      <c r="A7" s="457"/>
      <c r="B7" s="1165">
        <v>1</v>
      </c>
      <c r="C7" s="1165">
        <v>0.95</v>
      </c>
      <c r="D7" s="1165">
        <v>0.9</v>
      </c>
      <c r="E7" s="1165">
        <v>0.85</v>
      </c>
      <c r="F7" s="1165">
        <v>0.8</v>
      </c>
      <c r="G7" s="1165">
        <v>0.75</v>
      </c>
    </row>
    <row r="8" spans="1:255" ht="12.75" customHeight="1">
      <c r="A8" s="1165">
        <v>0.5</v>
      </c>
      <c r="B8" s="458">
        <f>1.732*A4</f>
        <v>95.26</v>
      </c>
      <c r="C8" s="458">
        <f>1.403*A4</f>
        <v>77.165000000000006</v>
      </c>
      <c r="D8" s="458">
        <f>1.247*A4</f>
        <v>68.585000000000008</v>
      </c>
      <c r="E8" s="458">
        <f>1.112*A4</f>
        <v>61.160000000000004</v>
      </c>
      <c r="F8" s="458">
        <f>0.982*A4</f>
        <v>54.01</v>
      </c>
      <c r="G8" s="458">
        <f>0.85*A4</f>
        <v>46.75</v>
      </c>
    </row>
    <row r="9" spans="1:255" ht="12.75" customHeight="1">
      <c r="A9" s="1165">
        <v>0.52</v>
      </c>
      <c r="B9" s="458">
        <f>1.643*A4</f>
        <v>90.364999999999995</v>
      </c>
      <c r="C9" s="458">
        <f>1.314*A4</f>
        <v>72.27000000000001</v>
      </c>
      <c r="D9" s="458">
        <f>1.158*A4</f>
        <v>63.69</v>
      </c>
      <c r="E9" s="458">
        <f>1.023*A4</f>
        <v>56.264999999999993</v>
      </c>
      <c r="F9" s="458">
        <f>0.893*A4</f>
        <v>49.115000000000002</v>
      </c>
      <c r="G9" s="458">
        <f>0.761*A4</f>
        <v>41.855000000000004</v>
      </c>
    </row>
    <row r="10" spans="1:255" ht="12.75" customHeight="1">
      <c r="A10" s="1165">
        <v>0.54</v>
      </c>
      <c r="B10" s="458">
        <f>1.558*A4</f>
        <v>85.69</v>
      </c>
      <c r="C10" s="458">
        <f>1.229*A4</f>
        <v>67.594999999999999</v>
      </c>
      <c r="D10" s="458">
        <f>1.073*A4</f>
        <v>59.015000000000001</v>
      </c>
      <c r="E10" s="458">
        <f>0.938*A4</f>
        <v>51.589999999999996</v>
      </c>
      <c r="F10" s="458">
        <f>0.808*A4</f>
        <v>44.440000000000005</v>
      </c>
      <c r="G10" s="458">
        <f>0.676*A4</f>
        <v>37.18</v>
      </c>
    </row>
    <row r="11" spans="1:255" ht="12.75" customHeight="1">
      <c r="A11" s="1165">
        <v>0.55000000000000004</v>
      </c>
      <c r="B11" s="458">
        <f>1.518*A4</f>
        <v>83.49</v>
      </c>
      <c r="C11" s="458">
        <f>1.189*A4</f>
        <v>65.39500000000001</v>
      </c>
      <c r="D11" s="458">
        <f>1.033*A4</f>
        <v>56.814999999999998</v>
      </c>
      <c r="E11" s="458">
        <f>0.898*A4</f>
        <v>49.39</v>
      </c>
      <c r="F11" s="458">
        <f>0.768*A4</f>
        <v>42.24</v>
      </c>
      <c r="G11" s="458">
        <f>0.636*A4</f>
        <v>34.980000000000004</v>
      </c>
    </row>
    <row r="12" spans="1:255" ht="12.75" customHeight="1">
      <c r="A12" s="1165">
        <v>0.56000000000000005</v>
      </c>
      <c r="B12" s="458">
        <f>1.479*A4</f>
        <v>81.344999999999999</v>
      </c>
      <c r="C12" s="458">
        <f>1.15*A4</f>
        <v>63.249999999999993</v>
      </c>
      <c r="D12" s="458">
        <f>0.994*A4</f>
        <v>54.67</v>
      </c>
      <c r="E12" s="458">
        <f>0.859*A4</f>
        <v>47.244999999999997</v>
      </c>
      <c r="F12" s="458">
        <f>0.729*A4</f>
        <v>40.094999999999999</v>
      </c>
      <c r="G12" s="458">
        <f>0.597*A4</f>
        <v>32.835000000000001</v>
      </c>
    </row>
    <row r="13" spans="1:255" ht="12.75" customHeight="1">
      <c r="A13" s="1165">
        <v>0.57999999999999996</v>
      </c>
      <c r="B13" s="458">
        <f>1.404*A4</f>
        <v>77.22</v>
      </c>
      <c r="C13" s="458">
        <f>1.075*A4</f>
        <v>59.125</v>
      </c>
      <c r="D13" s="458">
        <f>0.919*A4</f>
        <v>50.545000000000002</v>
      </c>
      <c r="E13" s="458">
        <f>0.784*A4</f>
        <v>43.120000000000005</v>
      </c>
      <c r="F13" s="458">
        <f>0.654*A4</f>
        <v>35.97</v>
      </c>
      <c r="G13" s="458">
        <f>0.522*A4</f>
        <v>28.71</v>
      </c>
    </row>
    <row r="14" spans="1:255" ht="12.75" customHeight="1">
      <c r="A14" s="1165">
        <v>0.6</v>
      </c>
      <c r="B14" s="458">
        <f>1.333*A4</f>
        <v>73.314999999999998</v>
      </c>
      <c r="C14" s="458">
        <f>1.004*A4</f>
        <v>55.22</v>
      </c>
      <c r="D14" s="458">
        <f>0.848*A4</f>
        <v>46.64</v>
      </c>
      <c r="E14" s="458">
        <f>0.713*A4</f>
        <v>39.214999999999996</v>
      </c>
      <c r="F14" s="458">
        <f>0.583*A4</f>
        <v>32.064999999999998</v>
      </c>
      <c r="G14" s="458">
        <f>0.451*A4</f>
        <v>24.805</v>
      </c>
    </row>
    <row r="15" spans="1:255" ht="12.75" customHeight="1">
      <c r="A15" s="1165">
        <v>0.62</v>
      </c>
      <c r="B15" s="458">
        <f>1.265*A4</f>
        <v>69.574999999999989</v>
      </c>
      <c r="C15" s="458">
        <f>0.936*A4</f>
        <v>51.480000000000004</v>
      </c>
      <c r="D15" s="458">
        <f>0.78*A4</f>
        <v>42.9</v>
      </c>
      <c r="E15" s="458">
        <f>0.645*A4</f>
        <v>35.475000000000001</v>
      </c>
      <c r="F15" s="458">
        <f>0.515*A4</f>
        <v>28.324999999999999</v>
      </c>
      <c r="G15" s="458">
        <f>0.383*A4</f>
        <v>21.065000000000001</v>
      </c>
    </row>
    <row r="16" spans="1:255" ht="12.75" customHeight="1">
      <c r="A16" s="1165">
        <v>0.64</v>
      </c>
      <c r="B16" s="458">
        <f>1.201*A4</f>
        <v>66.055000000000007</v>
      </c>
      <c r="C16" s="458">
        <f>0.872*A4</f>
        <v>47.96</v>
      </c>
      <c r="D16" s="458">
        <f>0.716*A4</f>
        <v>39.379999999999995</v>
      </c>
      <c r="E16" s="458">
        <f>0.581*A4</f>
        <v>31.954999999999998</v>
      </c>
      <c r="F16" s="458">
        <f>0.451*A4</f>
        <v>24.805</v>
      </c>
      <c r="G16" s="458">
        <f>0.319*A4</f>
        <v>17.545000000000002</v>
      </c>
    </row>
    <row r="17" spans="1:7" ht="12.75" customHeight="1">
      <c r="A17" s="1165">
        <v>0.65</v>
      </c>
      <c r="B17" s="458">
        <f>1.168*A4</f>
        <v>64.239999999999995</v>
      </c>
      <c r="C17" s="458">
        <f>0.839*A4</f>
        <v>46.144999999999996</v>
      </c>
      <c r="D17" s="458">
        <f>0.683*A4</f>
        <v>37.565000000000005</v>
      </c>
      <c r="E17" s="458">
        <f>0.548*A4</f>
        <v>30.14</v>
      </c>
      <c r="F17" s="458">
        <f>0.418*A4</f>
        <v>22.99</v>
      </c>
      <c r="G17" s="458">
        <f>0.286*A4</f>
        <v>15.729999999999999</v>
      </c>
    </row>
    <row r="18" spans="1:7" ht="12.75" customHeight="1">
      <c r="A18" s="1165">
        <v>0.66</v>
      </c>
      <c r="B18" s="458">
        <f>1.139*A4</f>
        <v>62.645000000000003</v>
      </c>
      <c r="C18" s="458">
        <f>0.81*A4</f>
        <v>44.550000000000004</v>
      </c>
      <c r="D18" s="458">
        <f>0.654*A4</f>
        <v>35.97</v>
      </c>
      <c r="E18" s="458">
        <f>0.519*A4</f>
        <v>28.545000000000002</v>
      </c>
      <c r="F18" s="458">
        <f>0.389*A4</f>
        <v>21.395</v>
      </c>
      <c r="G18" s="458">
        <f>0.257*A4</f>
        <v>14.135</v>
      </c>
    </row>
    <row r="19" spans="1:7" ht="12.75" customHeight="1">
      <c r="A19" s="1165">
        <v>0.68</v>
      </c>
      <c r="B19" s="458">
        <f>1.078*A4</f>
        <v>59.290000000000006</v>
      </c>
      <c r="C19" s="458">
        <f>0.749*A4</f>
        <v>41.195</v>
      </c>
      <c r="D19" s="458">
        <f>0.593*A4</f>
        <v>32.614999999999995</v>
      </c>
      <c r="E19" s="458">
        <f>0.458*A4</f>
        <v>25.19</v>
      </c>
      <c r="F19" s="458">
        <f>0.328*A4</f>
        <v>18.04</v>
      </c>
      <c r="G19" s="458">
        <f>0.196*A4</f>
        <v>10.780000000000001</v>
      </c>
    </row>
    <row r="20" spans="1:7" ht="12.75" customHeight="1">
      <c r="A20" s="1165">
        <v>0.7</v>
      </c>
      <c r="B20" s="458">
        <f>1.02*A4</f>
        <v>56.1</v>
      </c>
      <c r="C20" s="458">
        <f>0.691*A4</f>
        <v>38.004999999999995</v>
      </c>
      <c r="D20" s="458">
        <f>0.535*A4</f>
        <v>29.425000000000001</v>
      </c>
      <c r="E20" s="458">
        <f>0.4*A4</f>
        <v>22</v>
      </c>
      <c r="F20" s="458">
        <f>0.27*A4</f>
        <v>14.850000000000001</v>
      </c>
      <c r="G20" s="458">
        <f>0.138*A4</f>
        <v>7.5900000000000007</v>
      </c>
    </row>
    <row r="21" spans="1:7" ht="12.75" customHeight="1">
      <c r="A21" s="1165">
        <v>0.72</v>
      </c>
      <c r="B21" s="458">
        <f>0.964*A4</f>
        <v>53.019999999999996</v>
      </c>
      <c r="C21" s="458">
        <f>0.635*A4</f>
        <v>34.924999999999997</v>
      </c>
      <c r="D21" s="458">
        <f>0.479*A4</f>
        <v>26.344999999999999</v>
      </c>
      <c r="E21" s="458">
        <f>0.344*A4</f>
        <v>18.919999999999998</v>
      </c>
      <c r="F21" s="458">
        <f>0.214*A4</f>
        <v>11.77</v>
      </c>
      <c r="G21" s="458">
        <f>0.082*A4</f>
        <v>4.51</v>
      </c>
    </row>
    <row r="22" spans="1:7" ht="12.75" customHeight="1">
      <c r="A22" s="1165">
        <v>0.74</v>
      </c>
      <c r="B22" s="458">
        <f>0.909*A4</f>
        <v>49.995000000000005</v>
      </c>
      <c r="C22" s="458">
        <f>0.58*A4</f>
        <v>31.9</v>
      </c>
      <c r="D22" s="458">
        <f>0.424*A4</f>
        <v>23.32</v>
      </c>
      <c r="E22" s="458">
        <f>0.289*A4</f>
        <v>15.895</v>
      </c>
      <c r="F22" s="458">
        <f>0.159*A4</f>
        <v>8.745000000000001</v>
      </c>
      <c r="G22" s="458">
        <f>0.027*A4</f>
        <v>1.4849999999999999</v>
      </c>
    </row>
    <row r="23" spans="1:7" ht="12.75" customHeight="1">
      <c r="A23" s="1165">
        <v>0.75</v>
      </c>
      <c r="B23" s="458">
        <f>0.882*A4</f>
        <v>48.51</v>
      </c>
      <c r="C23" s="458">
        <f>0.553*A4</f>
        <v>30.415000000000003</v>
      </c>
      <c r="D23" s="458">
        <f>0.397*A4</f>
        <v>21.835000000000001</v>
      </c>
      <c r="E23" s="458">
        <f>0.262*A4</f>
        <v>14.41</v>
      </c>
      <c r="F23" s="458">
        <f>0.132*A4</f>
        <v>7.2600000000000007</v>
      </c>
      <c r="G23" s="458"/>
    </row>
    <row r="24" spans="1:7" ht="12.75" customHeight="1">
      <c r="A24" s="1165">
        <v>0.76</v>
      </c>
      <c r="B24" s="458">
        <f>0.855*A4</f>
        <v>47.024999999999999</v>
      </c>
      <c r="C24" s="458">
        <f>0.526*A4</f>
        <v>28.93</v>
      </c>
      <c r="D24" s="458">
        <f>0.37*A4</f>
        <v>20.350000000000001</v>
      </c>
      <c r="E24" s="458">
        <f>0.235*A4</f>
        <v>12.924999999999999</v>
      </c>
      <c r="F24" s="458">
        <f>0.105*A4</f>
        <v>5.7749999999999995</v>
      </c>
      <c r="G24" s="458"/>
    </row>
    <row r="25" spans="1:7" ht="12.75" customHeight="1">
      <c r="A25" s="1165">
        <v>0.78</v>
      </c>
      <c r="B25" s="458">
        <f>0.802*A4</f>
        <v>44.11</v>
      </c>
      <c r="C25" s="458">
        <f>0.437*A4</f>
        <v>24.035</v>
      </c>
      <c r="D25" s="458">
        <f>0.317*A4</f>
        <v>17.434999999999999</v>
      </c>
      <c r="E25" s="458">
        <f>0.182*A4</f>
        <v>10.01</v>
      </c>
      <c r="F25" s="458">
        <f>0.052*A4</f>
        <v>2.86</v>
      </c>
      <c r="G25" s="458"/>
    </row>
    <row r="26" spans="1:7" ht="12.75" customHeight="1">
      <c r="A26" s="1165">
        <v>0.8</v>
      </c>
      <c r="B26" s="458">
        <f>0.75*A4</f>
        <v>41.25</v>
      </c>
      <c r="C26" s="458">
        <f>0.421*A4</f>
        <v>23.154999999999998</v>
      </c>
      <c r="D26" s="458">
        <f>0.265*A4</f>
        <v>14.575000000000001</v>
      </c>
      <c r="E26" s="458">
        <f>0.13*A4</f>
        <v>7.15</v>
      </c>
      <c r="F26" s="458"/>
      <c r="G26" s="458"/>
    </row>
    <row r="27" spans="1:7" ht="12.75" customHeight="1">
      <c r="A27" s="1165">
        <v>0.82</v>
      </c>
      <c r="B27" s="458">
        <f>0.698*A4</f>
        <v>38.39</v>
      </c>
      <c r="C27" s="458">
        <f>0.369*A4</f>
        <v>20.294999999999998</v>
      </c>
      <c r="D27" s="458">
        <f>0.213*A4</f>
        <v>11.715</v>
      </c>
      <c r="E27" s="458">
        <f>0.078*A4</f>
        <v>4.29</v>
      </c>
      <c r="F27" s="458"/>
      <c r="G27" s="458"/>
    </row>
    <row r="28" spans="1:7" ht="12.75" customHeight="1">
      <c r="A28" s="1165">
        <v>0.84</v>
      </c>
      <c r="B28" s="458">
        <f>0.64*A4</f>
        <v>35.200000000000003</v>
      </c>
      <c r="C28" s="458">
        <f>0.317*A4</f>
        <v>17.434999999999999</v>
      </c>
      <c r="D28" s="458">
        <f>0.161*A4</f>
        <v>8.8550000000000004</v>
      </c>
      <c r="E28" s="458"/>
      <c r="F28" s="458"/>
      <c r="G28" s="458"/>
    </row>
    <row r="29" spans="1:7" ht="12.75" customHeight="1">
      <c r="A29" s="1165">
        <v>0.85</v>
      </c>
      <c r="B29" s="458">
        <f>0.62*A4</f>
        <v>34.1</v>
      </c>
      <c r="C29" s="458">
        <f>0.291*A4</f>
        <v>16.004999999999999</v>
      </c>
      <c r="D29" s="458">
        <f>0.135*A4</f>
        <v>7.4250000000000007</v>
      </c>
      <c r="E29" s="458"/>
      <c r="F29" s="458"/>
      <c r="G29" s="458"/>
    </row>
    <row r="30" spans="1:7" ht="12.75" customHeight="1">
      <c r="A30" s="1165">
        <v>0.86</v>
      </c>
      <c r="B30" s="458">
        <f>0.594*A4</f>
        <v>32.67</v>
      </c>
      <c r="C30" s="458">
        <f>0.265*A4</f>
        <v>14.575000000000001</v>
      </c>
      <c r="D30" s="458">
        <f>0.109*A4</f>
        <v>5.9950000000000001</v>
      </c>
      <c r="E30" s="458"/>
      <c r="F30" s="458"/>
      <c r="G30" s="458"/>
    </row>
    <row r="31" spans="1:7" ht="12.75" customHeight="1">
      <c r="A31" s="1165">
        <v>0.88</v>
      </c>
      <c r="B31" s="458">
        <f>0.54*A4</f>
        <v>29.700000000000003</v>
      </c>
      <c r="C31" s="458">
        <f>0.211*A4</f>
        <v>11.605</v>
      </c>
      <c r="D31" s="458">
        <f>0.055*A4</f>
        <v>3.0249999999999999</v>
      </c>
      <c r="E31" s="458"/>
      <c r="F31" s="458"/>
      <c r="G31" s="458"/>
    </row>
    <row r="32" spans="1:7" ht="12.75" customHeight="1">
      <c r="A32" s="1165">
        <v>0.9</v>
      </c>
      <c r="B32" s="458">
        <f>0.485*A4</f>
        <v>26.675000000000001</v>
      </c>
      <c r="C32" s="458">
        <f>0.156*A4</f>
        <v>8.58</v>
      </c>
      <c r="D32" s="458"/>
      <c r="E32" s="458"/>
      <c r="F32" s="458"/>
      <c r="G32" s="458"/>
    </row>
    <row r="33" spans="1:7" ht="12.75" customHeight="1">
      <c r="A33" s="1165">
        <v>0.92</v>
      </c>
      <c r="B33" s="458">
        <f>0.426*A4</f>
        <v>23.43</v>
      </c>
      <c r="C33" s="458">
        <f>0.097*A4</f>
        <v>5.335</v>
      </c>
      <c r="D33" s="458"/>
      <c r="E33" s="458"/>
      <c r="F33" s="458"/>
      <c r="G33" s="458"/>
    </row>
    <row r="34" spans="1:7" ht="12.75" customHeight="1">
      <c r="A34" s="1165">
        <v>0.94</v>
      </c>
      <c r="B34" s="458">
        <f>0.363*A4</f>
        <v>19.965</v>
      </c>
      <c r="C34" s="458">
        <f>0.034*A4</f>
        <v>1.87</v>
      </c>
      <c r="D34" s="458"/>
      <c r="E34" s="458"/>
      <c r="F34" s="458"/>
      <c r="G34" s="458"/>
    </row>
    <row r="35" spans="1:7" ht="13.5" customHeight="1">
      <c r="A35" s="1165">
        <v>0.95</v>
      </c>
      <c r="B35" s="458">
        <f>0.329*A4</f>
        <v>18.095000000000002</v>
      </c>
      <c r="C35" s="458"/>
      <c r="D35" s="458"/>
      <c r="E35" s="458"/>
      <c r="F35" s="458"/>
      <c r="G35" s="458"/>
    </row>
    <row r="37" spans="1:7" ht="15.75" customHeight="1">
      <c r="A37" s="1172">
        <v>0.7</v>
      </c>
      <c r="B37" s="1174" t="s">
        <v>276</v>
      </c>
    </row>
    <row r="38" spans="1:7" ht="15.75" customHeight="1">
      <c r="A38" s="1172">
        <v>0.95</v>
      </c>
      <c r="B38" s="1174" t="s">
        <v>1247</v>
      </c>
    </row>
    <row r="39" spans="1:7" ht="15.75" customHeight="1">
      <c r="A39" s="1169">
        <f>A4*((TAN(ACOS(A37))-(TAN(ACOS(A38)))))</f>
        <v>38.033597582284919</v>
      </c>
      <c r="B39" s="1174" t="s">
        <v>1259</v>
      </c>
      <c r="C39" s="1171"/>
    </row>
    <row r="40" spans="1:7" ht="15.75" customHeight="1">
      <c r="A40" s="1173">
        <f>A39/A4</f>
        <v>0.69151995604154404</v>
      </c>
      <c r="B40" s="778" t="s">
        <v>1260</v>
      </c>
    </row>
    <row r="41" spans="1:7" ht="15.75" customHeight="1">
      <c r="A41" s="1167"/>
    </row>
    <row r="42" spans="1:7" ht="15.75" customHeight="1">
      <c r="A42" s="1168">
        <f>$A$4*((TAN(ACOS($A$37))-(TAN(ACOS(0.9)))))</f>
        <v>29.473507601040499</v>
      </c>
      <c r="B42" s="1167" t="s">
        <v>1248</v>
      </c>
    </row>
    <row r="43" spans="1:7" ht="15.75" customHeight="1">
      <c r="A43" s="1168">
        <f>$A$4*((TAN(ACOS($A$37))-(TAN(ACOS(0.91)))))</f>
        <v>31.052483053066716</v>
      </c>
      <c r="B43" s="1167" t="s">
        <v>1249</v>
      </c>
    </row>
    <row r="44" spans="1:7" ht="15.75" customHeight="1">
      <c r="A44" s="1169">
        <f>$A$4*((TAN(ACOS($A$37))-(TAN(ACOS(0.92)))))</f>
        <v>32.681321479631137</v>
      </c>
      <c r="B44" s="1170" t="s">
        <v>1250</v>
      </c>
      <c r="C44" s="1171"/>
      <c r="D44" s="1171"/>
    </row>
    <row r="45" spans="1:7" ht="15.75" customHeight="1">
      <c r="A45" s="1168">
        <f>$A$4*((TAN(ACOS($A$37))-(TAN(ACOS(0.93)))))</f>
        <v>34.373832459124529</v>
      </c>
      <c r="B45" s="1167" t="s">
        <v>1251</v>
      </c>
    </row>
    <row r="46" spans="1:7" ht="15.75" customHeight="1">
      <c r="A46" s="1168">
        <f>$A$4*((TAN(ACOS($A$37))-(TAN(ACOS(0.94)))))</f>
        <v>36.14888898397858</v>
      </c>
      <c r="B46" s="1167" t="s">
        <v>1252</v>
      </c>
    </row>
    <row r="47" spans="1:7" ht="15.75" customHeight="1">
      <c r="A47" s="1168">
        <f>$A$4*((TAN(ACOS($A$37))-(TAN(ACOS(0.95)))))</f>
        <v>38.033597582284919</v>
      </c>
      <c r="B47" s="1167" t="s">
        <v>1253</v>
      </c>
    </row>
    <row r="48" spans="1:7" ht="15.75" customHeight="1">
      <c r="A48" s="1168">
        <f>$A$4*((TAN(ACOS($A$37))-(TAN(ACOS(0.96)))))</f>
        <v>40.069556700455713</v>
      </c>
      <c r="B48" s="1167" t="s">
        <v>1254</v>
      </c>
    </row>
    <row r="49" spans="1:2" ht="15.75" customHeight="1">
      <c r="A49" s="1168">
        <f>$A$4*((TAN(ACOS($A$37))-(TAN(ACOS(0.97)))))</f>
        <v>42.326924027681628</v>
      </c>
      <c r="B49" s="1167" t="s">
        <v>1255</v>
      </c>
    </row>
    <row r="50" spans="1:2" ht="15.75" customHeight="1">
      <c r="A50" s="1168">
        <f>$A$4*((TAN(ACOS($A$37))-(TAN(ACOS(0.98)))))</f>
        <v>44.942997032252165</v>
      </c>
      <c r="B50" s="1167" t="s">
        <v>1256</v>
      </c>
    </row>
    <row r="51" spans="1:2" ht="15.75" customHeight="1">
      <c r="A51" s="1168">
        <f>$A$4*((TAN(ACOS($A$37))-(TAN(ACOS(0.99)))))</f>
        <v>48.274147822863561</v>
      </c>
      <c r="B51" s="1167" t="s">
        <v>1257</v>
      </c>
    </row>
    <row r="52" spans="1:2" ht="15.75" customHeight="1">
      <c r="A52" s="1168">
        <f>$A$4*((TAN(ACOS($A$37))-(TAN(ACOS(1)))))</f>
        <v>56.111223367122392</v>
      </c>
      <c r="B52" s="1167" t="s">
        <v>1258</v>
      </c>
    </row>
  </sheetData>
  <sheetProtection algorithmName="SHA-512" hashValue="9qV+NU2eG53vchIV6MxvC/lKibsIY40VPdhume4OQqLQ8RNrL/IZI57OPQMetQK84gfYH0HRonEubgx1MH0Z9w==" saltValue="ZCVEw5vMmgoWJxtDOTEWnQ==" spinCount="100000" sheet="1" objects="1" scenarios="1"/>
  <mergeCells count="1">
    <mergeCell ref="B6:G6"/>
  </mergeCells>
  <pageMargins left="0.74791666666666701" right="0.74791666666666701" top="0.98402777777777795" bottom="0.98402777777777795" header="0.51180555555555596" footer="0.51180555555555596"/>
  <pageSetup firstPageNumber="0" orientation="portrait" horizontalDpi="300" verticalDpi="300"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7030A0"/>
    <pageSetUpPr fitToPage="1"/>
  </sheetPr>
  <dimension ref="A1:K56"/>
  <sheetViews>
    <sheetView workbookViewId="0">
      <selection activeCell="L30" sqref="L30"/>
    </sheetView>
  </sheetViews>
  <sheetFormatPr defaultColWidth="17.28515625" defaultRowHeight="15.75" customHeight="1"/>
  <cols>
    <col min="1" max="1" width="10.5703125" style="110" customWidth="1"/>
    <col min="2" max="6" width="7.85546875" style="110" customWidth="1"/>
    <col min="7" max="7" width="9.42578125" style="110" customWidth="1"/>
    <col min="8" max="10" width="10.42578125" style="110" customWidth="1"/>
    <col min="11" max="16384" width="17.28515625" style="110"/>
  </cols>
  <sheetData>
    <row r="1" spans="1:10" ht="12.75" customHeight="1">
      <c r="A1" s="8" t="s">
        <v>278</v>
      </c>
      <c r="B1" s="4"/>
      <c r="C1" s="4"/>
      <c r="D1" s="4"/>
      <c r="E1" s="4"/>
      <c r="F1" s="4"/>
      <c r="G1" s="4"/>
      <c r="H1" s="4"/>
      <c r="I1" s="4"/>
      <c r="J1" s="889">
        <v>42676</v>
      </c>
    </row>
    <row r="2" spans="1:10" ht="12.75" customHeight="1">
      <c r="A2" s="4"/>
      <c r="B2" s="4"/>
      <c r="C2" s="4"/>
      <c r="D2" s="4"/>
      <c r="E2" s="4"/>
      <c r="F2" s="4"/>
      <c r="G2" s="4"/>
      <c r="H2" s="4"/>
      <c r="I2" s="4"/>
      <c r="J2" s="4"/>
    </row>
    <row r="3" spans="1:10" ht="12.75" customHeight="1">
      <c r="A3" s="141" t="s">
        <v>279</v>
      </c>
      <c r="B3" s="142">
        <v>5.76</v>
      </c>
      <c r="C3" s="142">
        <v>2.6</v>
      </c>
      <c r="D3" s="142">
        <v>2</v>
      </c>
      <c r="E3" s="142">
        <v>1.4140000000000001</v>
      </c>
      <c r="F3" s="142">
        <v>1.1499999999999999</v>
      </c>
      <c r="G3" s="4"/>
      <c r="H3" s="4"/>
      <c r="I3" s="4"/>
      <c r="J3" s="4"/>
    </row>
    <row r="4" spans="1:10" ht="12.75" customHeight="1">
      <c r="A4" s="887" t="s">
        <v>280</v>
      </c>
      <c r="B4" s="143">
        <v>10</v>
      </c>
      <c r="C4" s="144">
        <v>22.5</v>
      </c>
      <c r="D4" s="143">
        <v>30</v>
      </c>
      <c r="E4" s="143">
        <v>45</v>
      </c>
      <c r="F4" s="143">
        <v>60</v>
      </c>
      <c r="G4" s="145" t="s">
        <v>281</v>
      </c>
      <c r="H4" s="4"/>
      <c r="I4" s="4"/>
      <c r="J4" s="4"/>
    </row>
    <row r="5" spans="1:10" ht="12.75" customHeight="1">
      <c r="A5" s="888">
        <v>1</v>
      </c>
      <c r="B5" s="146">
        <f t="shared" ref="B5:B43" si="0">A5*$B$3</f>
        <v>5.76</v>
      </c>
      <c r="C5" s="146">
        <f t="shared" ref="C5:C43" si="1">A5*$C$3</f>
        <v>2.6</v>
      </c>
      <c r="D5" s="14">
        <f t="shared" ref="D5:D43" si="2">A5*$D$3</f>
        <v>2</v>
      </c>
      <c r="E5" s="146">
        <f t="shared" ref="E5:E43" si="3">A5*$E$3</f>
        <v>1.4140000000000001</v>
      </c>
      <c r="F5" s="146">
        <f t="shared" ref="F5:F43" si="4">A5*$F$3</f>
        <v>1.1499999999999999</v>
      </c>
      <c r="G5" s="6"/>
      <c r="H5" s="4"/>
      <c r="I5" s="4"/>
      <c r="J5" s="4"/>
    </row>
    <row r="6" spans="1:10" ht="12.75" customHeight="1">
      <c r="A6" s="888">
        <v>1.5</v>
      </c>
      <c r="B6" s="146">
        <f t="shared" si="0"/>
        <v>8.64</v>
      </c>
      <c r="C6" s="146">
        <f t="shared" si="1"/>
        <v>3.9000000000000004</v>
      </c>
      <c r="D6" s="14">
        <f t="shared" si="2"/>
        <v>3</v>
      </c>
      <c r="E6" s="146">
        <f t="shared" si="3"/>
        <v>2.1210000000000004</v>
      </c>
      <c r="F6" s="146">
        <f t="shared" si="4"/>
        <v>1.7249999999999999</v>
      </c>
      <c r="G6" s="6"/>
      <c r="H6" s="1317" t="s">
        <v>282</v>
      </c>
      <c r="I6" s="1317"/>
      <c r="J6" s="1317"/>
    </row>
    <row r="7" spans="1:10" ht="12.75" customHeight="1">
      <c r="A7" s="888">
        <v>2</v>
      </c>
      <c r="B7" s="146">
        <f t="shared" si="0"/>
        <v>11.52</v>
      </c>
      <c r="C7" s="146">
        <f t="shared" si="1"/>
        <v>5.2</v>
      </c>
      <c r="D7" s="14">
        <f t="shared" si="2"/>
        <v>4</v>
      </c>
      <c r="E7" s="146">
        <f t="shared" si="3"/>
        <v>2.8280000000000003</v>
      </c>
      <c r="F7" s="146">
        <f t="shared" si="4"/>
        <v>2.2999999999999998</v>
      </c>
      <c r="G7" s="6"/>
      <c r="H7" s="15" t="s">
        <v>283</v>
      </c>
      <c r="I7" s="147" t="s">
        <v>284</v>
      </c>
      <c r="J7" s="147" t="s">
        <v>285</v>
      </c>
    </row>
    <row r="8" spans="1:10" ht="12.75" customHeight="1">
      <c r="A8" s="888">
        <v>2.5</v>
      </c>
      <c r="B8" s="146">
        <f t="shared" si="0"/>
        <v>14.399999999999999</v>
      </c>
      <c r="C8" s="146">
        <f t="shared" si="1"/>
        <v>6.5</v>
      </c>
      <c r="D8" s="14">
        <f t="shared" si="2"/>
        <v>5</v>
      </c>
      <c r="E8" s="146">
        <f t="shared" si="3"/>
        <v>3.5350000000000001</v>
      </c>
      <c r="F8" s="146">
        <f t="shared" si="4"/>
        <v>2.875</v>
      </c>
      <c r="G8" s="5"/>
      <c r="H8" s="148" t="s">
        <v>286</v>
      </c>
      <c r="I8" s="13">
        <v>5</v>
      </c>
      <c r="J8" s="148" t="s">
        <v>287</v>
      </c>
    </row>
    <row r="9" spans="1:10" ht="12.75" customHeight="1">
      <c r="A9" s="888">
        <v>3</v>
      </c>
      <c r="B9" s="146">
        <f t="shared" si="0"/>
        <v>17.28</v>
      </c>
      <c r="C9" s="146">
        <f t="shared" si="1"/>
        <v>7.8000000000000007</v>
      </c>
      <c r="D9" s="14">
        <f t="shared" si="2"/>
        <v>6</v>
      </c>
      <c r="E9" s="146">
        <f t="shared" si="3"/>
        <v>4.2420000000000009</v>
      </c>
      <c r="F9" s="146">
        <f t="shared" si="4"/>
        <v>3.4499999999999997</v>
      </c>
      <c r="G9" s="5"/>
      <c r="H9" s="148" t="s">
        <v>288</v>
      </c>
      <c r="I9" s="13">
        <v>6</v>
      </c>
      <c r="J9" s="148" t="s">
        <v>289</v>
      </c>
    </row>
    <row r="10" spans="1:10" ht="12.75" customHeight="1">
      <c r="A10" s="888">
        <v>3.5</v>
      </c>
      <c r="B10" s="146">
        <f t="shared" si="0"/>
        <v>20.16</v>
      </c>
      <c r="C10" s="146">
        <f t="shared" si="1"/>
        <v>9.1</v>
      </c>
      <c r="D10" s="14">
        <f t="shared" si="2"/>
        <v>7</v>
      </c>
      <c r="E10" s="146">
        <f t="shared" si="3"/>
        <v>4.9490000000000007</v>
      </c>
      <c r="F10" s="146">
        <f t="shared" si="4"/>
        <v>4.0249999999999995</v>
      </c>
      <c r="G10" s="5"/>
      <c r="H10" s="148" t="s">
        <v>52</v>
      </c>
      <c r="I10" s="13">
        <v>8</v>
      </c>
      <c r="J10" s="148" t="s">
        <v>290</v>
      </c>
    </row>
    <row r="11" spans="1:10" ht="12.75" customHeight="1">
      <c r="A11" s="888">
        <v>4</v>
      </c>
      <c r="B11" s="146">
        <f t="shared" si="0"/>
        <v>23.04</v>
      </c>
      <c r="C11" s="146">
        <f t="shared" si="1"/>
        <v>10.4</v>
      </c>
      <c r="D11" s="14">
        <f t="shared" si="2"/>
        <v>8</v>
      </c>
      <c r="E11" s="146">
        <f t="shared" si="3"/>
        <v>5.6560000000000006</v>
      </c>
      <c r="F11" s="146">
        <f t="shared" si="4"/>
        <v>4.5999999999999996</v>
      </c>
      <c r="G11" s="5"/>
      <c r="H11" s="148" t="s">
        <v>291</v>
      </c>
      <c r="I11" s="13">
        <v>11</v>
      </c>
      <c r="J11" s="148" t="s">
        <v>286</v>
      </c>
    </row>
    <row r="12" spans="1:10" ht="12.75" customHeight="1">
      <c r="A12" s="888">
        <v>4.5</v>
      </c>
      <c r="B12" s="146">
        <f t="shared" si="0"/>
        <v>25.919999999999998</v>
      </c>
      <c r="C12" s="146">
        <f t="shared" si="1"/>
        <v>11.700000000000001</v>
      </c>
      <c r="D12" s="14">
        <f t="shared" si="2"/>
        <v>9</v>
      </c>
      <c r="E12" s="146">
        <f t="shared" si="3"/>
        <v>6.3630000000000004</v>
      </c>
      <c r="F12" s="146">
        <f t="shared" si="4"/>
        <v>5.1749999999999998</v>
      </c>
      <c r="G12" s="6"/>
      <c r="H12" s="7"/>
      <c r="I12" s="7"/>
      <c r="J12" s="7"/>
    </row>
    <row r="13" spans="1:10" ht="12.75" customHeight="1">
      <c r="A13" s="888">
        <v>5</v>
      </c>
      <c r="B13" s="146">
        <f t="shared" si="0"/>
        <v>28.799999999999997</v>
      </c>
      <c r="C13" s="146">
        <f t="shared" si="1"/>
        <v>13</v>
      </c>
      <c r="D13" s="14">
        <f t="shared" si="2"/>
        <v>10</v>
      </c>
      <c r="E13" s="146">
        <f t="shared" si="3"/>
        <v>7.07</v>
      </c>
      <c r="F13" s="146">
        <f t="shared" si="4"/>
        <v>5.75</v>
      </c>
      <c r="G13" s="6"/>
      <c r="H13" s="1317" t="s">
        <v>292</v>
      </c>
      <c r="I13" s="1317"/>
      <c r="J13" s="1317"/>
    </row>
    <row r="14" spans="1:10" ht="12.75" customHeight="1">
      <c r="A14" s="888">
        <v>5.5</v>
      </c>
      <c r="B14" s="146">
        <f t="shared" si="0"/>
        <v>31.68</v>
      </c>
      <c r="C14" s="146">
        <f t="shared" si="1"/>
        <v>14.3</v>
      </c>
      <c r="D14" s="14">
        <f t="shared" si="2"/>
        <v>11</v>
      </c>
      <c r="E14" s="146">
        <f t="shared" si="3"/>
        <v>7.777000000000001</v>
      </c>
      <c r="F14" s="146">
        <f t="shared" si="4"/>
        <v>6.3249999999999993</v>
      </c>
      <c r="G14" s="6"/>
      <c r="H14" s="15" t="s">
        <v>293</v>
      </c>
      <c r="I14" s="15" t="s">
        <v>294</v>
      </c>
      <c r="J14" s="15" t="s">
        <v>295</v>
      </c>
    </row>
    <row r="15" spans="1:10" ht="12.75" customHeight="1">
      <c r="A15" s="888">
        <v>6</v>
      </c>
      <c r="B15" s="146">
        <f t="shared" si="0"/>
        <v>34.56</v>
      </c>
      <c r="C15" s="146">
        <f t="shared" si="1"/>
        <v>15.600000000000001</v>
      </c>
      <c r="D15" s="14">
        <f t="shared" si="2"/>
        <v>12</v>
      </c>
      <c r="E15" s="146">
        <f t="shared" si="3"/>
        <v>8.4840000000000018</v>
      </c>
      <c r="F15" s="146">
        <f t="shared" si="4"/>
        <v>6.8999999999999995</v>
      </c>
      <c r="G15" s="5"/>
      <c r="H15" s="12">
        <v>1</v>
      </c>
      <c r="I15" s="148" t="s">
        <v>287</v>
      </c>
      <c r="J15" s="12">
        <f t="shared" ref="J15:J20" si="5">H15*2.5</f>
        <v>2.5</v>
      </c>
    </row>
    <row r="16" spans="1:10" ht="12.75" customHeight="1">
      <c r="A16" s="888">
        <v>6.5</v>
      </c>
      <c r="B16" s="146">
        <f t="shared" si="0"/>
        <v>37.44</v>
      </c>
      <c r="C16" s="146">
        <f t="shared" si="1"/>
        <v>16.900000000000002</v>
      </c>
      <c r="D16" s="14">
        <f t="shared" si="2"/>
        <v>13</v>
      </c>
      <c r="E16" s="146">
        <f t="shared" si="3"/>
        <v>9.1910000000000007</v>
      </c>
      <c r="F16" s="146">
        <f t="shared" si="4"/>
        <v>7.4749999999999996</v>
      </c>
      <c r="G16" s="5"/>
      <c r="H16" s="12">
        <v>2</v>
      </c>
      <c r="I16" s="148" t="s">
        <v>290</v>
      </c>
      <c r="J16" s="12">
        <f t="shared" si="5"/>
        <v>5</v>
      </c>
    </row>
    <row r="17" spans="1:10" ht="12.75" customHeight="1">
      <c r="A17" s="888">
        <v>7</v>
      </c>
      <c r="B17" s="146">
        <f t="shared" si="0"/>
        <v>40.32</v>
      </c>
      <c r="C17" s="146">
        <f t="shared" si="1"/>
        <v>18.2</v>
      </c>
      <c r="D17" s="14">
        <f t="shared" si="2"/>
        <v>14</v>
      </c>
      <c r="E17" s="146">
        <f t="shared" si="3"/>
        <v>9.8980000000000015</v>
      </c>
      <c r="F17" s="146">
        <f t="shared" si="4"/>
        <v>8.0499999999999989</v>
      </c>
      <c r="G17" s="5"/>
      <c r="H17" s="12">
        <v>3</v>
      </c>
      <c r="I17" s="148" t="s">
        <v>296</v>
      </c>
      <c r="J17" s="12">
        <f t="shared" si="5"/>
        <v>7.5</v>
      </c>
    </row>
    <row r="18" spans="1:10" ht="12.75" customHeight="1">
      <c r="A18" s="888">
        <v>7.5</v>
      </c>
      <c r="B18" s="146">
        <f t="shared" si="0"/>
        <v>43.199999999999996</v>
      </c>
      <c r="C18" s="146">
        <f t="shared" si="1"/>
        <v>19.5</v>
      </c>
      <c r="D18" s="14">
        <f t="shared" si="2"/>
        <v>15</v>
      </c>
      <c r="E18" s="146">
        <f t="shared" si="3"/>
        <v>10.605</v>
      </c>
      <c r="F18" s="146">
        <f t="shared" si="4"/>
        <v>8.625</v>
      </c>
      <c r="G18" s="5"/>
      <c r="H18" s="12">
        <v>4</v>
      </c>
      <c r="I18" s="148" t="s">
        <v>288</v>
      </c>
      <c r="J18" s="12">
        <f t="shared" si="5"/>
        <v>10</v>
      </c>
    </row>
    <row r="19" spans="1:10" ht="12.75" customHeight="1">
      <c r="A19" s="888">
        <v>8</v>
      </c>
      <c r="B19" s="146">
        <f t="shared" si="0"/>
        <v>46.08</v>
      </c>
      <c r="C19" s="146">
        <f t="shared" si="1"/>
        <v>20.8</v>
      </c>
      <c r="D19" s="14">
        <f t="shared" si="2"/>
        <v>16</v>
      </c>
      <c r="E19" s="146">
        <f t="shared" si="3"/>
        <v>11.312000000000001</v>
      </c>
      <c r="F19" s="146">
        <f t="shared" si="4"/>
        <v>9.1999999999999993</v>
      </c>
      <c r="G19" s="5"/>
      <c r="H19" s="12">
        <v>5</v>
      </c>
      <c r="I19" s="148" t="s">
        <v>297</v>
      </c>
      <c r="J19" s="12">
        <f t="shared" si="5"/>
        <v>12.5</v>
      </c>
    </row>
    <row r="20" spans="1:10" ht="12.75" customHeight="1">
      <c r="A20" s="888">
        <v>8.5</v>
      </c>
      <c r="B20" s="146">
        <f t="shared" si="0"/>
        <v>48.96</v>
      </c>
      <c r="C20" s="146">
        <f t="shared" si="1"/>
        <v>22.1</v>
      </c>
      <c r="D20" s="14">
        <f t="shared" si="2"/>
        <v>17</v>
      </c>
      <c r="E20" s="146">
        <f t="shared" si="3"/>
        <v>12.019000000000002</v>
      </c>
      <c r="F20" s="146">
        <f t="shared" si="4"/>
        <v>9.7749999999999986</v>
      </c>
      <c r="G20" s="5"/>
      <c r="H20" s="12">
        <v>6</v>
      </c>
      <c r="I20" s="148" t="s">
        <v>298</v>
      </c>
      <c r="J20" s="12">
        <f t="shared" si="5"/>
        <v>15</v>
      </c>
    </row>
    <row r="21" spans="1:10" ht="12.75" customHeight="1">
      <c r="A21" s="888">
        <v>9</v>
      </c>
      <c r="B21" s="146">
        <f t="shared" si="0"/>
        <v>51.839999999999996</v>
      </c>
      <c r="C21" s="146">
        <f t="shared" si="1"/>
        <v>23.400000000000002</v>
      </c>
      <c r="D21" s="14">
        <f t="shared" si="2"/>
        <v>18</v>
      </c>
      <c r="E21" s="146">
        <f t="shared" si="3"/>
        <v>12.726000000000001</v>
      </c>
      <c r="F21" s="146">
        <f t="shared" si="4"/>
        <v>10.35</v>
      </c>
      <c r="G21" s="6"/>
      <c r="H21" s="7"/>
      <c r="I21" s="7"/>
      <c r="J21" s="7"/>
    </row>
    <row r="22" spans="1:10" ht="12.75" customHeight="1">
      <c r="A22" s="888">
        <v>9.5</v>
      </c>
      <c r="B22" s="146">
        <f t="shared" si="0"/>
        <v>54.72</v>
      </c>
      <c r="C22" s="146">
        <f t="shared" si="1"/>
        <v>24.7</v>
      </c>
      <c r="D22" s="14">
        <f t="shared" si="2"/>
        <v>19</v>
      </c>
      <c r="E22" s="146">
        <f t="shared" si="3"/>
        <v>13.433000000000002</v>
      </c>
      <c r="F22" s="146">
        <f t="shared" si="4"/>
        <v>10.924999999999999</v>
      </c>
      <c r="G22" s="6"/>
      <c r="H22" s="4"/>
      <c r="I22" s="4"/>
      <c r="J22" s="4"/>
    </row>
    <row r="23" spans="1:10" ht="12.75" customHeight="1">
      <c r="A23" s="888">
        <v>10</v>
      </c>
      <c r="B23" s="146">
        <f t="shared" si="0"/>
        <v>57.599999999999994</v>
      </c>
      <c r="C23" s="146">
        <f t="shared" si="1"/>
        <v>26</v>
      </c>
      <c r="D23" s="14">
        <f t="shared" si="2"/>
        <v>20</v>
      </c>
      <c r="E23" s="146">
        <f t="shared" si="3"/>
        <v>14.14</v>
      </c>
      <c r="F23" s="146">
        <f t="shared" si="4"/>
        <v>11.5</v>
      </c>
      <c r="G23" s="6"/>
      <c r="H23" s="4"/>
      <c r="I23" s="4"/>
      <c r="J23" s="4"/>
    </row>
    <row r="24" spans="1:10" ht="12.75" customHeight="1">
      <c r="A24" s="888">
        <v>10.5</v>
      </c>
      <c r="B24" s="146">
        <f t="shared" si="0"/>
        <v>60.48</v>
      </c>
      <c r="C24" s="146">
        <f t="shared" si="1"/>
        <v>27.3</v>
      </c>
      <c r="D24" s="14">
        <f t="shared" si="2"/>
        <v>21</v>
      </c>
      <c r="E24" s="146">
        <f t="shared" si="3"/>
        <v>14.847000000000001</v>
      </c>
      <c r="F24" s="146">
        <f t="shared" si="4"/>
        <v>12.074999999999999</v>
      </c>
      <c r="G24" s="6"/>
      <c r="H24" s="4"/>
      <c r="I24" s="4"/>
      <c r="J24" s="4"/>
    </row>
    <row r="25" spans="1:10" ht="12.75" customHeight="1">
      <c r="A25" s="888">
        <v>11</v>
      </c>
      <c r="B25" s="146">
        <f t="shared" si="0"/>
        <v>63.36</v>
      </c>
      <c r="C25" s="146">
        <f t="shared" si="1"/>
        <v>28.6</v>
      </c>
      <c r="D25" s="14">
        <f t="shared" si="2"/>
        <v>22</v>
      </c>
      <c r="E25" s="146">
        <f t="shared" si="3"/>
        <v>15.554000000000002</v>
      </c>
      <c r="F25" s="146">
        <f t="shared" si="4"/>
        <v>12.649999999999999</v>
      </c>
      <c r="G25" s="6"/>
      <c r="H25" s="4"/>
      <c r="I25" s="4"/>
      <c r="J25" s="4"/>
    </row>
    <row r="26" spans="1:10" ht="12.75" customHeight="1">
      <c r="A26" s="888">
        <v>11.5</v>
      </c>
      <c r="B26" s="146">
        <f t="shared" si="0"/>
        <v>66.239999999999995</v>
      </c>
      <c r="C26" s="146">
        <f t="shared" si="1"/>
        <v>29.900000000000002</v>
      </c>
      <c r="D26" s="14">
        <f t="shared" si="2"/>
        <v>23</v>
      </c>
      <c r="E26" s="146">
        <f t="shared" si="3"/>
        <v>16.261000000000003</v>
      </c>
      <c r="F26" s="146">
        <f t="shared" si="4"/>
        <v>13.225</v>
      </c>
      <c r="G26" s="6"/>
      <c r="H26" s="4"/>
      <c r="I26" s="4"/>
      <c r="J26" s="4"/>
    </row>
    <row r="27" spans="1:10" ht="12.75" customHeight="1">
      <c r="A27" s="888">
        <v>12</v>
      </c>
      <c r="B27" s="146">
        <f t="shared" si="0"/>
        <v>69.12</v>
      </c>
      <c r="C27" s="146">
        <f t="shared" si="1"/>
        <v>31.200000000000003</v>
      </c>
      <c r="D27" s="14">
        <f t="shared" si="2"/>
        <v>24</v>
      </c>
      <c r="E27" s="146">
        <f t="shared" si="3"/>
        <v>16.968000000000004</v>
      </c>
      <c r="F27" s="146">
        <f t="shared" si="4"/>
        <v>13.799999999999999</v>
      </c>
      <c r="G27" s="6"/>
      <c r="H27" s="4"/>
      <c r="I27" s="4"/>
      <c r="J27" s="4"/>
    </row>
    <row r="28" spans="1:10" ht="12.75" customHeight="1">
      <c r="A28" s="888">
        <v>12.5</v>
      </c>
      <c r="B28" s="146">
        <f t="shared" si="0"/>
        <v>72</v>
      </c>
      <c r="C28" s="146">
        <f t="shared" si="1"/>
        <v>32.5</v>
      </c>
      <c r="D28" s="14">
        <f t="shared" si="2"/>
        <v>25</v>
      </c>
      <c r="E28" s="146">
        <f t="shared" si="3"/>
        <v>17.675000000000001</v>
      </c>
      <c r="F28" s="146">
        <f t="shared" si="4"/>
        <v>14.374999999999998</v>
      </c>
      <c r="G28" s="6"/>
      <c r="H28" s="4"/>
      <c r="I28" s="4"/>
      <c r="J28" s="4"/>
    </row>
    <row r="29" spans="1:10" ht="12.75" customHeight="1">
      <c r="A29" s="888">
        <v>13</v>
      </c>
      <c r="B29" s="146">
        <f t="shared" si="0"/>
        <v>74.88</v>
      </c>
      <c r="C29" s="146">
        <f t="shared" si="1"/>
        <v>33.800000000000004</v>
      </c>
      <c r="D29" s="14">
        <f t="shared" si="2"/>
        <v>26</v>
      </c>
      <c r="E29" s="146">
        <f t="shared" si="3"/>
        <v>18.382000000000001</v>
      </c>
      <c r="F29" s="146">
        <f t="shared" si="4"/>
        <v>14.95</v>
      </c>
      <c r="G29" s="6"/>
      <c r="H29" s="4"/>
      <c r="I29" s="4"/>
      <c r="J29" s="4"/>
    </row>
    <row r="30" spans="1:10" ht="12.75" customHeight="1">
      <c r="A30" s="888">
        <v>13.5</v>
      </c>
      <c r="B30" s="146">
        <f t="shared" si="0"/>
        <v>77.759999999999991</v>
      </c>
      <c r="C30" s="146">
        <f t="shared" si="1"/>
        <v>35.1</v>
      </c>
      <c r="D30" s="14">
        <f t="shared" si="2"/>
        <v>27</v>
      </c>
      <c r="E30" s="146">
        <f t="shared" si="3"/>
        <v>19.089000000000002</v>
      </c>
      <c r="F30" s="146">
        <f t="shared" si="4"/>
        <v>15.524999999999999</v>
      </c>
      <c r="G30" s="6"/>
      <c r="H30" s="4"/>
      <c r="I30" s="4"/>
      <c r="J30" s="4"/>
    </row>
    <row r="31" spans="1:10" ht="12.75" customHeight="1">
      <c r="A31" s="888">
        <v>14</v>
      </c>
      <c r="B31" s="146">
        <f t="shared" si="0"/>
        <v>80.64</v>
      </c>
      <c r="C31" s="146">
        <f t="shared" si="1"/>
        <v>36.4</v>
      </c>
      <c r="D31" s="14">
        <f t="shared" si="2"/>
        <v>28</v>
      </c>
      <c r="E31" s="146">
        <f t="shared" si="3"/>
        <v>19.796000000000003</v>
      </c>
      <c r="F31" s="146">
        <f t="shared" si="4"/>
        <v>16.099999999999998</v>
      </c>
      <c r="G31" s="6"/>
      <c r="H31" s="4"/>
      <c r="I31" s="4"/>
      <c r="J31" s="4"/>
    </row>
    <row r="32" spans="1:10" ht="12.75" customHeight="1">
      <c r="A32" s="888">
        <v>14.5</v>
      </c>
      <c r="B32" s="146">
        <f t="shared" si="0"/>
        <v>83.52</v>
      </c>
      <c r="C32" s="146">
        <f t="shared" si="1"/>
        <v>37.700000000000003</v>
      </c>
      <c r="D32" s="14">
        <f t="shared" si="2"/>
        <v>29</v>
      </c>
      <c r="E32" s="146">
        <f t="shared" si="3"/>
        <v>20.503000000000004</v>
      </c>
      <c r="F32" s="146">
        <f t="shared" si="4"/>
        <v>16.674999999999997</v>
      </c>
      <c r="G32" s="6"/>
      <c r="H32" s="4"/>
      <c r="I32" s="4"/>
      <c r="J32" s="4"/>
    </row>
    <row r="33" spans="1:11" ht="12.75" customHeight="1">
      <c r="A33" s="888">
        <v>15</v>
      </c>
      <c r="B33" s="146">
        <f t="shared" si="0"/>
        <v>86.399999999999991</v>
      </c>
      <c r="C33" s="146">
        <f t="shared" si="1"/>
        <v>39</v>
      </c>
      <c r="D33" s="14">
        <f t="shared" si="2"/>
        <v>30</v>
      </c>
      <c r="E33" s="146">
        <f t="shared" si="3"/>
        <v>21.21</v>
      </c>
      <c r="F33" s="146">
        <f t="shared" si="4"/>
        <v>17.25</v>
      </c>
      <c r="G33" s="6"/>
      <c r="H33" s="4"/>
      <c r="I33" s="4"/>
      <c r="J33" s="4"/>
    </row>
    <row r="34" spans="1:11" ht="12.75" customHeight="1">
      <c r="A34" s="888">
        <v>15.5</v>
      </c>
      <c r="B34" s="146">
        <f t="shared" si="0"/>
        <v>89.28</v>
      </c>
      <c r="C34" s="146">
        <f t="shared" si="1"/>
        <v>40.300000000000004</v>
      </c>
      <c r="D34" s="14">
        <f t="shared" si="2"/>
        <v>31</v>
      </c>
      <c r="E34" s="146">
        <f t="shared" si="3"/>
        <v>21.917000000000002</v>
      </c>
      <c r="F34" s="146">
        <f t="shared" si="4"/>
        <v>17.824999999999999</v>
      </c>
      <c r="G34" s="6"/>
      <c r="H34" s="4"/>
      <c r="I34" s="4"/>
      <c r="J34" s="4"/>
    </row>
    <row r="35" spans="1:11" ht="12.75" customHeight="1">
      <c r="A35" s="888">
        <v>16</v>
      </c>
      <c r="B35" s="146">
        <f t="shared" si="0"/>
        <v>92.16</v>
      </c>
      <c r="C35" s="146">
        <f t="shared" si="1"/>
        <v>41.6</v>
      </c>
      <c r="D35" s="14">
        <f t="shared" si="2"/>
        <v>32</v>
      </c>
      <c r="E35" s="146">
        <f t="shared" si="3"/>
        <v>22.624000000000002</v>
      </c>
      <c r="F35" s="146">
        <f t="shared" si="4"/>
        <v>18.399999999999999</v>
      </c>
      <c r="G35" s="6"/>
      <c r="H35" s="4"/>
      <c r="I35" s="4"/>
      <c r="J35" s="4"/>
    </row>
    <row r="36" spans="1:11" ht="12.75" customHeight="1">
      <c r="A36" s="888">
        <v>16.5</v>
      </c>
      <c r="B36" s="146">
        <f t="shared" si="0"/>
        <v>95.039999999999992</v>
      </c>
      <c r="C36" s="146">
        <f t="shared" si="1"/>
        <v>42.9</v>
      </c>
      <c r="D36" s="14">
        <f t="shared" si="2"/>
        <v>33</v>
      </c>
      <c r="E36" s="146">
        <f t="shared" si="3"/>
        <v>23.331000000000003</v>
      </c>
      <c r="F36" s="146">
        <f t="shared" si="4"/>
        <v>18.974999999999998</v>
      </c>
      <c r="G36" s="6"/>
      <c r="H36" s="4"/>
      <c r="I36" s="4"/>
      <c r="J36" s="4"/>
    </row>
    <row r="37" spans="1:11" ht="12.75" customHeight="1">
      <c r="A37" s="888">
        <v>17</v>
      </c>
      <c r="B37" s="146">
        <f t="shared" si="0"/>
        <v>97.92</v>
      </c>
      <c r="C37" s="146">
        <f t="shared" si="1"/>
        <v>44.2</v>
      </c>
      <c r="D37" s="14">
        <f t="shared" si="2"/>
        <v>34</v>
      </c>
      <c r="E37" s="146">
        <f t="shared" si="3"/>
        <v>24.038000000000004</v>
      </c>
      <c r="F37" s="146">
        <f t="shared" si="4"/>
        <v>19.549999999999997</v>
      </c>
      <c r="G37" s="6"/>
      <c r="H37" s="4"/>
      <c r="I37" s="4"/>
      <c r="J37" s="4"/>
    </row>
    <row r="38" spans="1:11" ht="12.75" customHeight="1">
      <c r="A38" s="888">
        <v>17.5</v>
      </c>
      <c r="B38" s="146">
        <f t="shared" si="0"/>
        <v>100.8</v>
      </c>
      <c r="C38" s="146">
        <f t="shared" si="1"/>
        <v>45.5</v>
      </c>
      <c r="D38" s="14">
        <f t="shared" si="2"/>
        <v>35</v>
      </c>
      <c r="E38" s="146">
        <f t="shared" si="3"/>
        <v>24.745000000000001</v>
      </c>
      <c r="F38" s="146">
        <f t="shared" si="4"/>
        <v>20.125</v>
      </c>
      <c r="G38" s="6"/>
      <c r="H38" s="4"/>
      <c r="I38" s="4"/>
      <c r="J38" s="4"/>
    </row>
    <row r="39" spans="1:11" ht="12.75" customHeight="1">
      <c r="A39" s="888">
        <v>18</v>
      </c>
      <c r="B39" s="146">
        <f t="shared" si="0"/>
        <v>103.67999999999999</v>
      </c>
      <c r="C39" s="146">
        <f t="shared" si="1"/>
        <v>46.800000000000004</v>
      </c>
      <c r="D39" s="14">
        <f t="shared" si="2"/>
        <v>36</v>
      </c>
      <c r="E39" s="146">
        <f t="shared" si="3"/>
        <v>25.452000000000002</v>
      </c>
      <c r="F39" s="146">
        <f t="shared" si="4"/>
        <v>20.7</v>
      </c>
      <c r="G39" s="6"/>
      <c r="H39" s="4"/>
      <c r="I39" s="4"/>
      <c r="J39" s="4"/>
    </row>
    <row r="40" spans="1:11" ht="12.75" customHeight="1">
      <c r="A40" s="888">
        <v>18.5</v>
      </c>
      <c r="B40" s="146">
        <f t="shared" si="0"/>
        <v>106.56</v>
      </c>
      <c r="C40" s="146">
        <f t="shared" si="1"/>
        <v>48.1</v>
      </c>
      <c r="D40" s="14">
        <f t="shared" si="2"/>
        <v>37</v>
      </c>
      <c r="E40" s="146">
        <f t="shared" si="3"/>
        <v>26.159000000000002</v>
      </c>
      <c r="F40" s="146">
        <f t="shared" si="4"/>
        <v>21.274999999999999</v>
      </c>
      <c r="G40" s="6"/>
      <c r="H40" s="4"/>
      <c r="I40" s="4"/>
      <c r="J40" s="4"/>
    </row>
    <row r="41" spans="1:11" ht="12.75" customHeight="1">
      <c r="A41" s="888">
        <v>19</v>
      </c>
      <c r="B41" s="146">
        <f t="shared" si="0"/>
        <v>109.44</v>
      </c>
      <c r="C41" s="146">
        <f t="shared" si="1"/>
        <v>49.4</v>
      </c>
      <c r="D41" s="14">
        <f t="shared" si="2"/>
        <v>38</v>
      </c>
      <c r="E41" s="146">
        <f t="shared" si="3"/>
        <v>26.866000000000003</v>
      </c>
      <c r="F41" s="146">
        <f t="shared" si="4"/>
        <v>21.849999999999998</v>
      </c>
      <c r="G41" s="6"/>
      <c r="H41" s="4"/>
      <c r="I41" s="4"/>
      <c r="J41" s="4"/>
    </row>
    <row r="42" spans="1:11" ht="12.75" customHeight="1">
      <c r="A42" s="888">
        <v>19.5</v>
      </c>
      <c r="B42" s="146">
        <f t="shared" si="0"/>
        <v>112.32</v>
      </c>
      <c r="C42" s="146">
        <f t="shared" si="1"/>
        <v>50.7</v>
      </c>
      <c r="D42" s="14">
        <f t="shared" si="2"/>
        <v>39</v>
      </c>
      <c r="E42" s="146">
        <f t="shared" si="3"/>
        <v>27.573000000000004</v>
      </c>
      <c r="F42" s="146">
        <f t="shared" si="4"/>
        <v>22.424999999999997</v>
      </c>
      <c r="G42" s="6"/>
      <c r="H42" s="4"/>
      <c r="I42" s="4"/>
      <c r="J42" s="4"/>
    </row>
    <row r="43" spans="1:11" ht="12.75" customHeight="1">
      <c r="A43" s="888">
        <v>20</v>
      </c>
      <c r="B43" s="146">
        <f t="shared" si="0"/>
        <v>115.19999999999999</v>
      </c>
      <c r="C43" s="146">
        <f t="shared" si="1"/>
        <v>52</v>
      </c>
      <c r="D43" s="14">
        <f t="shared" si="2"/>
        <v>40</v>
      </c>
      <c r="E43" s="146">
        <f t="shared" si="3"/>
        <v>28.28</v>
      </c>
      <c r="F43" s="146">
        <f t="shared" si="4"/>
        <v>23</v>
      </c>
      <c r="G43" s="6"/>
      <c r="H43" s="4"/>
      <c r="I43" s="4"/>
      <c r="J43" s="4"/>
    </row>
    <row r="45" spans="1:11" ht="15.75" customHeight="1">
      <c r="A45" s="379" t="s">
        <v>666</v>
      </c>
      <c r="B45" s="370"/>
      <c r="C45" s="370"/>
      <c r="D45" s="370"/>
      <c r="E45" s="370"/>
      <c r="F45" s="370"/>
      <c r="G45" s="370"/>
      <c r="H45" s="370"/>
      <c r="I45" s="370"/>
      <c r="J45" s="370"/>
      <c r="K45" s="370"/>
    </row>
    <row r="46" spans="1:11" ht="15.75" customHeight="1">
      <c r="A46" s="380" t="s">
        <v>762</v>
      </c>
      <c r="B46" s="370"/>
      <c r="C46" s="370"/>
      <c r="D46" s="370"/>
      <c r="E46" s="370"/>
      <c r="F46" s="370"/>
      <c r="G46" s="370"/>
      <c r="H46" s="370"/>
      <c r="I46" s="370"/>
      <c r="J46" s="370"/>
      <c r="K46" s="370"/>
    </row>
    <row r="47" spans="1:11" ht="15.75" customHeight="1">
      <c r="A47" s="215" t="s">
        <v>763</v>
      </c>
      <c r="B47" s="370"/>
      <c r="C47" s="370"/>
      <c r="D47" s="370"/>
      <c r="E47" s="370"/>
      <c r="F47" s="370"/>
      <c r="G47" s="370"/>
      <c r="H47" s="370"/>
      <c r="I47" s="370"/>
      <c r="J47" s="370"/>
      <c r="K47" s="370"/>
    </row>
    <row r="48" spans="1:11" ht="15.75" customHeight="1">
      <c r="A48" s="379" t="s">
        <v>766</v>
      </c>
      <c r="B48" s="370"/>
      <c r="C48" s="370"/>
      <c r="D48" s="370"/>
      <c r="E48" s="370"/>
      <c r="F48" s="370"/>
      <c r="G48" s="370"/>
      <c r="H48" s="370"/>
      <c r="I48" s="370"/>
      <c r="J48" s="370"/>
      <c r="K48" s="370"/>
    </row>
    <row r="49" spans="1:11" ht="15.75" customHeight="1">
      <c r="A49" s="379" t="s">
        <v>3</v>
      </c>
      <c r="B49" s="370"/>
      <c r="C49" s="370"/>
      <c r="D49" s="370"/>
      <c r="E49" s="370"/>
      <c r="F49" s="370"/>
      <c r="G49" s="370"/>
      <c r="H49" s="370"/>
      <c r="I49" s="370"/>
      <c r="J49" s="370"/>
      <c r="K49" s="370"/>
    </row>
    <row r="50" spans="1:11" ht="15.75" customHeight="1">
      <c r="A50" s="370"/>
      <c r="B50" s="370"/>
      <c r="C50" s="370"/>
      <c r="D50" s="370"/>
      <c r="E50" s="370"/>
      <c r="F50" s="370"/>
      <c r="G50" s="370"/>
      <c r="H50" s="370"/>
      <c r="I50" s="370"/>
      <c r="J50" s="370"/>
      <c r="K50" s="370"/>
    </row>
    <row r="51" spans="1:11" ht="15.75" customHeight="1">
      <c r="A51" s="370"/>
      <c r="B51" s="370"/>
      <c r="C51" s="370"/>
      <c r="D51" s="370"/>
      <c r="E51" s="370"/>
      <c r="F51" s="370"/>
      <c r="G51" s="370"/>
      <c r="H51" s="370"/>
      <c r="I51" s="370"/>
      <c r="J51" s="370"/>
      <c r="K51" s="370"/>
    </row>
    <row r="52" spans="1:11" ht="15.75" customHeight="1">
      <c r="A52" s="370"/>
      <c r="B52" s="370"/>
      <c r="C52" s="370"/>
      <c r="D52" s="370"/>
      <c r="E52" s="370"/>
      <c r="F52" s="370"/>
      <c r="G52" s="370"/>
      <c r="H52" s="370"/>
      <c r="I52" s="370"/>
      <c r="J52" s="370"/>
      <c r="K52" s="370"/>
    </row>
    <row r="53" spans="1:11" ht="15.75" customHeight="1">
      <c r="A53" s="370"/>
      <c r="B53" s="370"/>
      <c r="C53" s="370"/>
      <c r="D53" s="370"/>
      <c r="E53" s="370"/>
      <c r="F53" s="370"/>
      <c r="G53" s="370"/>
      <c r="H53" s="370"/>
      <c r="I53" s="370"/>
      <c r="J53" s="370"/>
      <c r="K53" s="370"/>
    </row>
    <row r="54" spans="1:11" ht="15.75" customHeight="1">
      <c r="A54" s="370"/>
      <c r="B54" s="370"/>
      <c r="C54" s="370"/>
      <c r="D54" s="370"/>
      <c r="E54" s="370"/>
      <c r="F54" s="370"/>
      <c r="G54" s="370"/>
      <c r="H54" s="370"/>
      <c r="I54" s="370"/>
      <c r="J54" s="370"/>
      <c r="K54" s="370"/>
    </row>
    <row r="55" spans="1:11" ht="15.75" customHeight="1">
      <c r="A55" s="370"/>
      <c r="B55" s="370"/>
      <c r="C55" s="370"/>
      <c r="D55" s="370"/>
      <c r="E55" s="370"/>
      <c r="F55" s="370"/>
      <c r="G55" s="370"/>
      <c r="H55" s="370"/>
      <c r="I55" s="370"/>
      <c r="J55" s="370"/>
      <c r="K55" s="370"/>
    </row>
    <row r="56" spans="1:11" ht="15.75" customHeight="1">
      <c r="A56" s="370"/>
      <c r="B56" s="370"/>
      <c r="C56" s="370"/>
      <c r="D56" s="370"/>
      <c r="E56" s="370"/>
      <c r="F56" s="370"/>
      <c r="G56" s="370"/>
      <c r="H56" s="370"/>
      <c r="I56" s="370"/>
      <c r="J56" s="370"/>
      <c r="K56" s="370"/>
    </row>
  </sheetData>
  <sheetProtection algorithmName="SHA-512" hashValue="veNpI5yejtS74P/dITD4S9FqnrEdpwXClWR1XuLvStQvpiF/GDq07nBqbVFrRDZIXcsd2nsZUSLLXB0c23sevg==" saltValue="E8iuHGXTNvi8/2VWrOijlQ==" spinCount="100000" sheet="1" objects="1" scenarios="1"/>
  <mergeCells count="2">
    <mergeCell ref="H6:J6"/>
    <mergeCell ref="H13:J13"/>
  </mergeCells>
  <pageMargins left="0.74791666666666701" right="0.74791666666666701" top="0.98402777777777795" bottom="0.98402777777777795" header="0.51180555555555596" footer="0.51180555555555596"/>
  <pageSetup firstPageNumber="0" orientation="portrait" horizontalDpi="300" verticalDpi="300"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7030A0"/>
    <pageSetUpPr fitToPage="1"/>
  </sheetPr>
  <dimension ref="A1:M38"/>
  <sheetViews>
    <sheetView workbookViewId="0">
      <selection activeCell="H34" sqref="H34"/>
    </sheetView>
  </sheetViews>
  <sheetFormatPr defaultColWidth="17.28515625" defaultRowHeight="15.75" customHeight="1"/>
  <cols>
    <col min="1" max="1" width="29.42578125" style="110" customWidth="1"/>
    <col min="2" max="2" width="10.85546875" style="110" customWidth="1"/>
    <col min="3" max="5" width="7" style="110" customWidth="1"/>
    <col min="6" max="6" width="6.140625" style="110" customWidth="1"/>
    <col min="7" max="13" width="7" style="110" customWidth="1"/>
    <col min="14" max="16384" width="17.28515625" style="110"/>
  </cols>
  <sheetData>
    <row r="1" spans="1:13" ht="15.75" customHeight="1">
      <c r="A1" s="149" t="s">
        <v>299</v>
      </c>
      <c r="B1" s="150" t="s">
        <v>252</v>
      </c>
      <c r="C1" s="151">
        <v>2</v>
      </c>
      <c r="D1" s="150">
        <v>3</v>
      </c>
      <c r="E1" s="151">
        <v>5</v>
      </c>
      <c r="F1" s="150" t="s">
        <v>300</v>
      </c>
      <c r="G1" s="151">
        <v>10</v>
      </c>
      <c r="H1" s="150">
        <v>15</v>
      </c>
      <c r="I1" s="151">
        <v>20</v>
      </c>
      <c r="J1" s="150">
        <v>25</v>
      </c>
      <c r="K1" s="151">
        <v>30</v>
      </c>
      <c r="L1" s="150">
        <v>40</v>
      </c>
      <c r="M1" s="151">
        <v>50</v>
      </c>
    </row>
    <row r="2" spans="1:13" ht="15.75" customHeight="1">
      <c r="A2" s="152"/>
      <c r="B2" s="153"/>
      <c r="C2" s="154" t="s">
        <v>301</v>
      </c>
      <c r="D2" s="153" t="s">
        <v>301</v>
      </c>
      <c r="E2" s="154" t="s">
        <v>301</v>
      </c>
      <c r="F2" s="153" t="s">
        <v>301</v>
      </c>
      <c r="G2" s="154" t="s">
        <v>301</v>
      </c>
      <c r="H2" s="153" t="s">
        <v>302</v>
      </c>
      <c r="I2" s="154" t="s">
        <v>302</v>
      </c>
      <c r="J2" s="153" t="s">
        <v>302</v>
      </c>
      <c r="K2" s="154" t="s">
        <v>302</v>
      </c>
      <c r="L2" s="153" t="s">
        <v>302</v>
      </c>
      <c r="M2" s="154" t="s">
        <v>302</v>
      </c>
    </row>
    <row r="3" spans="1:13" ht="15.75" customHeight="1">
      <c r="A3" s="152" t="s">
        <v>303</v>
      </c>
      <c r="B3" s="153" t="s">
        <v>209</v>
      </c>
      <c r="C3" s="154">
        <v>3.5</v>
      </c>
      <c r="D3" s="153">
        <v>4.9000000000000004</v>
      </c>
      <c r="E3" s="154">
        <v>8</v>
      </c>
      <c r="F3" s="153">
        <v>11.8</v>
      </c>
      <c r="G3" s="154">
        <v>17</v>
      </c>
      <c r="H3" s="153">
        <v>20.8</v>
      </c>
      <c r="I3" s="154">
        <v>26.9</v>
      </c>
      <c r="J3" s="153">
        <v>33.5</v>
      </c>
      <c r="K3" s="154">
        <v>39.5</v>
      </c>
      <c r="L3" s="153">
        <v>53.5</v>
      </c>
      <c r="M3" s="154">
        <v>67.7</v>
      </c>
    </row>
    <row r="4" spans="1:13" ht="15.75" customHeight="1">
      <c r="A4" s="149" t="s">
        <v>304</v>
      </c>
      <c r="B4" s="150" t="s">
        <v>305</v>
      </c>
      <c r="C4" s="151">
        <v>4.0999999999999996</v>
      </c>
      <c r="D4" s="150">
        <v>5.4</v>
      </c>
      <c r="E4" s="151">
        <v>8.9</v>
      </c>
      <c r="F4" s="150">
        <v>13</v>
      </c>
      <c r="G4" s="151">
        <v>18.5</v>
      </c>
      <c r="H4" s="150">
        <v>23.7</v>
      </c>
      <c r="I4" s="151">
        <v>30.3</v>
      </c>
      <c r="J4" s="150">
        <v>37.5</v>
      </c>
      <c r="K4" s="151">
        <v>45.2</v>
      </c>
      <c r="L4" s="150">
        <v>62</v>
      </c>
      <c r="M4" s="151">
        <v>77</v>
      </c>
    </row>
    <row r="5" spans="1:13" ht="15.75" customHeight="1">
      <c r="A5" s="152" t="s">
        <v>93</v>
      </c>
      <c r="B5" s="153"/>
      <c r="C5" s="154">
        <v>3.4</v>
      </c>
      <c r="D5" s="153">
        <v>4.8</v>
      </c>
      <c r="E5" s="154">
        <v>7.6</v>
      </c>
      <c r="F5" s="153">
        <v>11</v>
      </c>
      <c r="G5" s="154">
        <v>14</v>
      </c>
      <c r="H5" s="153">
        <v>21</v>
      </c>
      <c r="I5" s="154">
        <v>27</v>
      </c>
      <c r="J5" s="153">
        <v>34</v>
      </c>
      <c r="K5" s="154">
        <v>40</v>
      </c>
      <c r="L5" s="153">
        <v>52</v>
      </c>
      <c r="M5" s="154">
        <v>65</v>
      </c>
    </row>
    <row r="6" spans="1:13" ht="15.75" customHeight="1">
      <c r="A6" s="152"/>
      <c r="B6" s="153"/>
      <c r="C6" s="153"/>
      <c r="D6" s="153"/>
      <c r="E6" s="153"/>
      <c r="F6" s="153"/>
      <c r="G6" s="153"/>
      <c r="H6" s="153"/>
      <c r="I6" s="155"/>
      <c r="J6" s="155"/>
      <c r="K6" s="153"/>
      <c r="L6" s="153"/>
      <c r="M6" s="153"/>
    </row>
    <row r="7" spans="1:13" ht="15.75" customHeight="1">
      <c r="A7" s="152" t="s">
        <v>306</v>
      </c>
      <c r="B7" s="150" t="s">
        <v>307</v>
      </c>
      <c r="C7" s="154">
        <v>450</v>
      </c>
      <c r="D7" s="153">
        <v>450</v>
      </c>
      <c r="E7" s="154">
        <v>450</v>
      </c>
      <c r="F7" s="153">
        <v>450</v>
      </c>
      <c r="G7" s="154">
        <v>450</v>
      </c>
      <c r="H7" s="153">
        <v>450</v>
      </c>
      <c r="I7" s="154">
        <v>450</v>
      </c>
      <c r="J7" s="153">
        <v>450</v>
      </c>
      <c r="K7" s="154">
        <v>450</v>
      </c>
      <c r="L7" s="153">
        <v>450</v>
      </c>
      <c r="M7" s="154">
        <v>450</v>
      </c>
    </row>
    <row r="8" spans="1:13" ht="15.75" customHeight="1">
      <c r="A8" s="152" t="s">
        <v>308</v>
      </c>
      <c r="B8" s="150" t="s">
        <v>309</v>
      </c>
      <c r="C8" s="154">
        <v>506</v>
      </c>
      <c r="D8" s="153">
        <v>506</v>
      </c>
      <c r="E8" s="154">
        <v>506</v>
      </c>
      <c r="F8" s="153">
        <v>506</v>
      </c>
      <c r="G8" s="154">
        <v>506</v>
      </c>
      <c r="H8" s="153">
        <v>506</v>
      </c>
      <c r="I8" s="154">
        <v>506</v>
      </c>
      <c r="J8" s="153">
        <v>506</v>
      </c>
      <c r="K8" s="154">
        <v>506</v>
      </c>
      <c r="L8" s="153">
        <v>506</v>
      </c>
      <c r="M8" s="154">
        <v>506</v>
      </c>
    </row>
    <row r="9" spans="1:13" ht="15.75" customHeight="1">
      <c r="A9" s="152" t="s">
        <v>310</v>
      </c>
      <c r="B9" s="150" t="s">
        <v>311</v>
      </c>
      <c r="C9" s="154">
        <v>7</v>
      </c>
      <c r="D9" s="153">
        <v>7</v>
      </c>
      <c r="E9" s="154">
        <v>7</v>
      </c>
      <c r="F9" s="153">
        <v>7</v>
      </c>
      <c r="G9" s="154">
        <v>7</v>
      </c>
      <c r="H9" s="153">
        <v>7</v>
      </c>
      <c r="I9" s="154">
        <v>7</v>
      </c>
      <c r="J9" s="153">
        <v>7</v>
      </c>
      <c r="K9" s="154">
        <v>7</v>
      </c>
      <c r="L9" s="153">
        <v>7</v>
      </c>
      <c r="M9" s="154">
        <v>7</v>
      </c>
    </row>
    <row r="10" spans="1:13" ht="15.75" customHeight="1">
      <c r="A10" s="152" t="s">
        <v>312</v>
      </c>
      <c r="B10" s="150" t="s">
        <v>313</v>
      </c>
      <c r="C10" s="154">
        <v>8</v>
      </c>
      <c r="D10" s="153">
        <v>6</v>
      </c>
      <c r="E10" s="154">
        <v>4</v>
      </c>
      <c r="F10" s="153">
        <v>3</v>
      </c>
      <c r="G10" s="154">
        <v>2</v>
      </c>
      <c r="H10" s="153">
        <v>2</v>
      </c>
      <c r="I10" s="154">
        <v>1</v>
      </c>
      <c r="J10" s="153">
        <v>1</v>
      </c>
      <c r="K10" s="154">
        <v>1</v>
      </c>
      <c r="L10" s="153">
        <v>1</v>
      </c>
      <c r="M10" s="154">
        <v>1</v>
      </c>
    </row>
    <row r="11" spans="1:13" ht="15.75" customHeight="1">
      <c r="A11" s="152" t="s">
        <v>314</v>
      </c>
      <c r="B11" s="150" t="s">
        <v>315</v>
      </c>
      <c r="C11" s="156">
        <f t="shared" ref="C11:M11" si="0">C3*1.15</f>
        <v>4.0249999999999995</v>
      </c>
      <c r="D11" s="157">
        <f t="shared" si="0"/>
        <v>5.6349999999999998</v>
      </c>
      <c r="E11" s="156">
        <f t="shared" si="0"/>
        <v>9.1999999999999993</v>
      </c>
      <c r="F11" s="157">
        <f t="shared" si="0"/>
        <v>13.57</v>
      </c>
      <c r="G11" s="156">
        <f t="shared" si="0"/>
        <v>19.549999999999997</v>
      </c>
      <c r="H11" s="157">
        <f t="shared" si="0"/>
        <v>23.919999999999998</v>
      </c>
      <c r="I11" s="156">
        <f t="shared" si="0"/>
        <v>30.934999999999995</v>
      </c>
      <c r="J11" s="157">
        <f t="shared" si="0"/>
        <v>38.524999999999999</v>
      </c>
      <c r="K11" s="156">
        <f t="shared" si="0"/>
        <v>45.424999999999997</v>
      </c>
      <c r="L11" s="157">
        <f t="shared" si="0"/>
        <v>61.524999999999999</v>
      </c>
      <c r="M11" s="156">
        <f t="shared" si="0"/>
        <v>77.855000000000004</v>
      </c>
    </row>
    <row r="12" spans="1:13" ht="15.75" customHeight="1">
      <c r="A12" s="152" t="s">
        <v>90</v>
      </c>
      <c r="B12" s="150" t="s">
        <v>316</v>
      </c>
      <c r="C12" s="156">
        <f t="shared" ref="C12:M12" si="1">C3*0.85</f>
        <v>2.9750000000000001</v>
      </c>
      <c r="D12" s="157">
        <f t="shared" si="1"/>
        <v>4.165</v>
      </c>
      <c r="E12" s="156">
        <f t="shared" si="1"/>
        <v>6.8</v>
      </c>
      <c r="F12" s="157">
        <f t="shared" si="1"/>
        <v>10.030000000000001</v>
      </c>
      <c r="G12" s="156">
        <f t="shared" si="1"/>
        <v>14.45</v>
      </c>
      <c r="H12" s="157">
        <f t="shared" si="1"/>
        <v>17.68</v>
      </c>
      <c r="I12" s="156">
        <f t="shared" si="1"/>
        <v>22.864999999999998</v>
      </c>
      <c r="J12" s="157">
        <f t="shared" si="1"/>
        <v>28.474999999999998</v>
      </c>
      <c r="K12" s="156">
        <f t="shared" si="1"/>
        <v>33.574999999999996</v>
      </c>
      <c r="L12" s="157">
        <f t="shared" si="1"/>
        <v>45.475000000000001</v>
      </c>
      <c r="M12" s="156">
        <f t="shared" si="1"/>
        <v>57.545000000000002</v>
      </c>
    </row>
    <row r="13" spans="1:13" ht="15.75" customHeight="1">
      <c r="A13" s="152" t="s">
        <v>317</v>
      </c>
      <c r="B13" s="150" t="s">
        <v>318</v>
      </c>
      <c r="C13" s="154">
        <v>7</v>
      </c>
      <c r="D13" s="153">
        <v>7</v>
      </c>
      <c r="E13" s="154">
        <v>7</v>
      </c>
      <c r="F13" s="153">
        <v>7</v>
      </c>
      <c r="G13" s="154">
        <v>7</v>
      </c>
      <c r="H13" s="153">
        <v>7</v>
      </c>
      <c r="I13" s="154">
        <v>7</v>
      </c>
      <c r="J13" s="153">
        <v>7</v>
      </c>
      <c r="K13" s="154">
        <v>7</v>
      </c>
      <c r="L13" s="153">
        <v>7</v>
      </c>
      <c r="M13" s="154">
        <v>7</v>
      </c>
    </row>
    <row r="14" spans="1:13" ht="15.75" customHeight="1">
      <c r="A14" s="152" t="s">
        <v>319</v>
      </c>
      <c r="B14" s="150" t="s">
        <v>320</v>
      </c>
      <c r="C14" s="154">
        <v>10</v>
      </c>
      <c r="D14" s="153">
        <v>10</v>
      </c>
      <c r="E14" s="154">
        <v>10</v>
      </c>
      <c r="F14" s="153">
        <v>10</v>
      </c>
      <c r="G14" s="154">
        <v>10</v>
      </c>
      <c r="H14" s="153">
        <v>10</v>
      </c>
      <c r="I14" s="154">
        <v>10</v>
      </c>
      <c r="J14" s="153">
        <v>10</v>
      </c>
      <c r="K14" s="154">
        <v>10</v>
      </c>
      <c r="L14" s="153">
        <v>10</v>
      </c>
      <c r="M14" s="154">
        <v>10</v>
      </c>
    </row>
    <row r="15" spans="1:13" ht="15.75" customHeight="1">
      <c r="A15" s="152" t="s">
        <v>321</v>
      </c>
      <c r="B15" s="150" t="s">
        <v>322</v>
      </c>
      <c r="C15" s="154">
        <v>500</v>
      </c>
      <c r="D15" s="153">
        <v>500</v>
      </c>
      <c r="E15" s="154">
        <v>500</v>
      </c>
      <c r="F15" s="153">
        <v>500</v>
      </c>
      <c r="G15" s="154">
        <v>500</v>
      </c>
      <c r="H15" s="153">
        <v>500</v>
      </c>
      <c r="I15" s="154">
        <v>500</v>
      </c>
      <c r="J15" s="153">
        <v>500</v>
      </c>
      <c r="K15" s="154">
        <v>500</v>
      </c>
      <c r="L15" s="153">
        <v>500</v>
      </c>
      <c r="M15" s="154">
        <v>500</v>
      </c>
    </row>
    <row r="16" spans="1:13" ht="15.75" customHeight="1">
      <c r="A16" s="152" t="s">
        <v>323</v>
      </c>
      <c r="B16" s="150" t="s">
        <v>324</v>
      </c>
      <c r="C16" s="154">
        <v>16</v>
      </c>
      <c r="D16" s="153">
        <v>16</v>
      </c>
      <c r="E16" s="154">
        <v>16</v>
      </c>
      <c r="F16" s="153">
        <v>16</v>
      </c>
      <c r="G16" s="154">
        <v>16</v>
      </c>
      <c r="H16" s="153">
        <v>16</v>
      </c>
      <c r="I16" s="154">
        <v>16</v>
      </c>
      <c r="J16" s="153">
        <v>16</v>
      </c>
      <c r="K16" s="154">
        <v>16</v>
      </c>
      <c r="L16" s="153">
        <v>16</v>
      </c>
      <c r="M16" s="154">
        <v>16</v>
      </c>
    </row>
    <row r="17" spans="1:13" ht="15.75" customHeight="1">
      <c r="A17" s="152" t="s">
        <v>325</v>
      </c>
      <c r="B17" s="150" t="s">
        <v>326</v>
      </c>
      <c r="C17" s="154">
        <v>30</v>
      </c>
      <c r="D17" s="153">
        <v>30</v>
      </c>
      <c r="E17" s="154">
        <v>30</v>
      </c>
      <c r="F17" s="153">
        <v>30</v>
      </c>
      <c r="G17" s="154">
        <v>30</v>
      </c>
      <c r="H17" s="153">
        <v>30</v>
      </c>
      <c r="I17" s="154">
        <v>30</v>
      </c>
      <c r="J17" s="153">
        <v>30</v>
      </c>
      <c r="K17" s="154">
        <v>30</v>
      </c>
      <c r="L17" s="153">
        <v>30</v>
      </c>
      <c r="M17" s="154">
        <v>30</v>
      </c>
    </row>
    <row r="18" spans="1:13" ht="15.75" customHeight="1">
      <c r="A18" s="152" t="s">
        <v>327</v>
      </c>
      <c r="B18" s="150" t="s">
        <v>328</v>
      </c>
      <c r="C18" s="154" t="s">
        <v>329</v>
      </c>
      <c r="D18" s="153" t="s">
        <v>329</v>
      </c>
      <c r="E18" s="154" t="s">
        <v>329</v>
      </c>
      <c r="F18" s="153" t="s">
        <v>329</v>
      </c>
      <c r="G18" s="154" t="s">
        <v>329</v>
      </c>
      <c r="H18" s="153" t="s">
        <v>329</v>
      </c>
      <c r="I18" s="154" t="s">
        <v>329</v>
      </c>
      <c r="J18" s="153" t="s">
        <v>329</v>
      </c>
      <c r="K18" s="154" t="s">
        <v>329</v>
      </c>
      <c r="L18" s="153" t="s">
        <v>329</v>
      </c>
      <c r="M18" s="154" t="s">
        <v>329</v>
      </c>
    </row>
    <row r="19" spans="1:13" ht="15.75" customHeight="1">
      <c r="A19" s="152" t="s">
        <v>330</v>
      </c>
      <c r="B19" s="150" t="s">
        <v>331</v>
      </c>
      <c r="C19" s="154" t="s">
        <v>332</v>
      </c>
      <c r="D19" s="153" t="s">
        <v>332</v>
      </c>
      <c r="E19" s="154" t="s">
        <v>332</v>
      </c>
      <c r="F19" s="153" t="s">
        <v>332</v>
      </c>
      <c r="G19" s="154" t="s">
        <v>332</v>
      </c>
      <c r="H19" s="153" t="s">
        <v>332</v>
      </c>
      <c r="I19" s="154" t="s">
        <v>332</v>
      </c>
      <c r="J19" s="153" t="s">
        <v>332</v>
      </c>
      <c r="K19" s="154" t="s">
        <v>332</v>
      </c>
      <c r="L19" s="153" t="s">
        <v>332</v>
      </c>
      <c r="M19" s="154" t="s">
        <v>332</v>
      </c>
    </row>
    <row r="20" spans="1:13" ht="15.75" customHeight="1">
      <c r="A20" s="152" t="s">
        <v>333</v>
      </c>
      <c r="B20" s="150" t="s">
        <v>334</v>
      </c>
      <c r="C20" s="154" t="s">
        <v>335</v>
      </c>
      <c r="D20" s="153" t="s">
        <v>335</v>
      </c>
      <c r="E20" s="154" t="s">
        <v>335</v>
      </c>
      <c r="F20" s="153" t="s">
        <v>335</v>
      </c>
      <c r="G20" s="154" t="s">
        <v>335</v>
      </c>
      <c r="H20" s="153" t="s">
        <v>335</v>
      </c>
      <c r="I20" s="154" t="s">
        <v>335</v>
      </c>
      <c r="J20" s="153" t="s">
        <v>335</v>
      </c>
      <c r="K20" s="154" t="s">
        <v>335</v>
      </c>
      <c r="L20" s="153" t="s">
        <v>335</v>
      </c>
      <c r="M20" s="154" t="s">
        <v>335</v>
      </c>
    </row>
    <row r="21" spans="1:13" ht="15.75" customHeight="1">
      <c r="A21" s="152" t="s">
        <v>336</v>
      </c>
      <c r="B21" s="150" t="s">
        <v>337</v>
      </c>
      <c r="C21" s="154">
        <v>5</v>
      </c>
      <c r="D21" s="153">
        <v>5</v>
      </c>
      <c r="E21" s="154">
        <v>5</v>
      </c>
      <c r="F21" s="153">
        <v>5</v>
      </c>
      <c r="G21" s="154">
        <v>5</v>
      </c>
      <c r="H21" s="153">
        <v>5</v>
      </c>
      <c r="I21" s="154">
        <v>5</v>
      </c>
      <c r="J21" s="153">
        <v>5</v>
      </c>
      <c r="K21" s="154">
        <v>5</v>
      </c>
      <c r="L21" s="153">
        <v>5</v>
      </c>
      <c r="M21" s="154">
        <v>5</v>
      </c>
    </row>
    <row r="22" spans="1:13" ht="15.75" customHeight="1">
      <c r="A22" s="152" t="s">
        <v>338</v>
      </c>
      <c r="B22" s="150" t="s">
        <v>339</v>
      </c>
      <c r="C22" s="154">
        <f t="shared" ref="C22:M22" si="2">C3*0.1</f>
        <v>0.35000000000000003</v>
      </c>
      <c r="D22" s="153">
        <f t="shared" si="2"/>
        <v>0.49000000000000005</v>
      </c>
      <c r="E22" s="154">
        <f t="shared" si="2"/>
        <v>0.8</v>
      </c>
      <c r="F22" s="153">
        <f t="shared" si="2"/>
        <v>1.1800000000000002</v>
      </c>
      <c r="G22" s="154">
        <f t="shared" si="2"/>
        <v>1.7000000000000002</v>
      </c>
      <c r="H22" s="153">
        <f t="shared" si="2"/>
        <v>2.08</v>
      </c>
      <c r="I22" s="154">
        <f t="shared" si="2"/>
        <v>2.69</v>
      </c>
      <c r="J22" s="153">
        <f t="shared" si="2"/>
        <v>3.35</v>
      </c>
      <c r="K22" s="154">
        <f t="shared" si="2"/>
        <v>3.95</v>
      </c>
      <c r="L22" s="153">
        <f t="shared" si="2"/>
        <v>5.3500000000000005</v>
      </c>
      <c r="M22" s="154">
        <f t="shared" si="2"/>
        <v>6.7700000000000005</v>
      </c>
    </row>
    <row r="23" spans="1:13" ht="15.75" customHeight="1">
      <c r="A23" s="149" t="s">
        <v>252</v>
      </c>
      <c r="B23" s="150"/>
      <c r="C23" s="151">
        <f t="shared" ref="C23:M23" si="3">C1</f>
        <v>2</v>
      </c>
      <c r="D23" s="150">
        <f t="shared" si="3"/>
        <v>3</v>
      </c>
      <c r="E23" s="151">
        <f t="shared" si="3"/>
        <v>5</v>
      </c>
      <c r="F23" s="150" t="str">
        <f t="shared" si="3"/>
        <v>7 1/2</v>
      </c>
      <c r="G23" s="151">
        <f t="shared" si="3"/>
        <v>10</v>
      </c>
      <c r="H23" s="150">
        <f t="shared" si="3"/>
        <v>15</v>
      </c>
      <c r="I23" s="151">
        <f t="shared" si="3"/>
        <v>20</v>
      </c>
      <c r="J23" s="150">
        <f t="shared" si="3"/>
        <v>25</v>
      </c>
      <c r="K23" s="151">
        <f t="shared" si="3"/>
        <v>30</v>
      </c>
      <c r="L23" s="150">
        <f t="shared" si="3"/>
        <v>40</v>
      </c>
      <c r="M23" s="151">
        <f t="shared" si="3"/>
        <v>50</v>
      </c>
    </row>
    <row r="24" spans="1:13" ht="15.75" customHeight="1">
      <c r="A24" s="158" t="s">
        <v>340</v>
      </c>
      <c r="B24" s="153"/>
      <c r="C24" s="154">
        <f t="shared" ref="C24:M24" si="4">C10</f>
        <v>8</v>
      </c>
      <c r="D24" s="153">
        <f t="shared" si="4"/>
        <v>6</v>
      </c>
      <c r="E24" s="154">
        <f t="shared" si="4"/>
        <v>4</v>
      </c>
      <c r="F24" s="153">
        <f t="shared" si="4"/>
        <v>3</v>
      </c>
      <c r="G24" s="154">
        <f t="shared" si="4"/>
        <v>2</v>
      </c>
      <c r="H24" s="153">
        <f t="shared" si="4"/>
        <v>2</v>
      </c>
      <c r="I24" s="154">
        <f t="shared" si="4"/>
        <v>1</v>
      </c>
      <c r="J24" s="153">
        <f t="shared" si="4"/>
        <v>1</v>
      </c>
      <c r="K24" s="154">
        <f t="shared" si="4"/>
        <v>1</v>
      </c>
      <c r="L24" s="153">
        <f t="shared" si="4"/>
        <v>1</v>
      </c>
      <c r="M24" s="154">
        <f t="shared" si="4"/>
        <v>1</v>
      </c>
    </row>
    <row r="25" spans="1:13" ht="15.75" customHeight="1">
      <c r="A25" s="152" t="s">
        <v>341</v>
      </c>
      <c r="B25" s="152" t="s">
        <v>342</v>
      </c>
      <c r="C25" s="159">
        <f t="shared" ref="C25:M25" si="5">C3*1.25</f>
        <v>4.375</v>
      </c>
      <c r="D25" s="160">
        <f t="shared" si="5"/>
        <v>6.125</v>
      </c>
      <c r="E25" s="159">
        <f t="shared" si="5"/>
        <v>10</v>
      </c>
      <c r="F25" s="160">
        <f t="shared" si="5"/>
        <v>14.75</v>
      </c>
      <c r="G25" s="159">
        <f t="shared" si="5"/>
        <v>21.25</v>
      </c>
      <c r="H25" s="160">
        <f t="shared" si="5"/>
        <v>26</v>
      </c>
      <c r="I25" s="159">
        <f t="shared" si="5"/>
        <v>33.625</v>
      </c>
      <c r="J25" s="160">
        <f t="shared" si="5"/>
        <v>41.875</v>
      </c>
      <c r="K25" s="159">
        <f t="shared" si="5"/>
        <v>49.375</v>
      </c>
      <c r="L25" s="160">
        <f t="shared" si="5"/>
        <v>66.875</v>
      </c>
      <c r="M25" s="159">
        <f t="shared" si="5"/>
        <v>84.625</v>
      </c>
    </row>
    <row r="26" spans="1:13" ht="15.75" customHeight="1">
      <c r="A26" s="152" t="s">
        <v>343</v>
      </c>
      <c r="B26" s="155"/>
      <c r="C26" s="161">
        <v>12</v>
      </c>
      <c r="D26" s="155">
        <v>12</v>
      </c>
      <c r="E26" s="161">
        <v>12</v>
      </c>
      <c r="F26" s="155">
        <v>12</v>
      </c>
      <c r="G26" s="161">
        <v>12</v>
      </c>
      <c r="H26" s="155">
        <v>10</v>
      </c>
      <c r="I26" s="161">
        <v>10</v>
      </c>
      <c r="J26" s="155">
        <v>8</v>
      </c>
      <c r="K26" s="161">
        <v>8</v>
      </c>
      <c r="L26" s="155">
        <v>4</v>
      </c>
      <c r="M26" s="161">
        <v>4</v>
      </c>
    </row>
    <row r="27" spans="1:13" ht="15.75" customHeight="1">
      <c r="A27" s="162" t="s">
        <v>275</v>
      </c>
      <c r="B27" s="163"/>
      <c r="C27" s="164">
        <f>C$23*0.746</f>
        <v>1.492</v>
      </c>
      <c r="D27" s="164">
        <f>D$23*0.746</f>
        <v>2.238</v>
      </c>
      <c r="E27" s="164">
        <f>E$23*0.746</f>
        <v>3.73</v>
      </c>
      <c r="F27" s="164">
        <f>7.5*0.746</f>
        <v>5.5949999999999998</v>
      </c>
      <c r="G27" s="164">
        <f t="shared" ref="G27:M27" si="6">G$23*0.746</f>
        <v>7.46</v>
      </c>
      <c r="H27" s="164">
        <f t="shared" si="6"/>
        <v>11.19</v>
      </c>
      <c r="I27" s="164">
        <f t="shared" si="6"/>
        <v>14.92</v>
      </c>
      <c r="J27" s="164">
        <f t="shared" si="6"/>
        <v>18.649999999999999</v>
      </c>
      <c r="K27" s="164">
        <f t="shared" si="6"/>
        <v>22.38</v>
      </c>
      <c r="L27" s="164">
        <f t="shared" si="6"/>
        <v>29.84</v>
      </c>
      <c r="M27" s="164">
        <f t="shared" si="6"/>
        <v>37.299999999999997</v>
      </c>
    </row>
    <row r="28" spans="1:13" ht="15.75" customHeight="1">
      <c r="A28" s="7"/>
      <c r="B28" s="7"/>
      <c r="C28" s="7"/>
      <c r="D28" s="7"/>
      <c r="E28" s="7"/>
      <c r="F28" s="7"/>
      <c r="G28" s="7"/>
      <c r="H28" s="7"/>
      <c r="I28" s="7"/>
      <c r="J28" s="7"/>
      <c r="K28" s="7"/>
      <c r="L28" s="7"/>
      <c r="M28" s="7"/>
    </row>
    <row r="29" spans="1:13" ht="15.75" customHeight="1">
      <c r="A29" s="379" t="s">
        <v>666</v>
      </c>
      <c r="B29" s="369"/>
      <c r="C29" s="369"/>
      <c r="D29" s="369"/>
      <c r="E29" s="369"/>
      <c r="F29" s="369"/>
      <c r="G29" s="369"/>
      <c r="H29" s="369"/>
      <c r="I29" s="4"/>
      <c r="J29" s="4"/>
      <c r="K29" s="4"/>
      <c r="L29" s="4"/>
      <c r="M29" s="4"/>
    </row>
    <row r="30" spans="1:13" ht="15.75" customHeight="1">
      <c r="A30" s="380" t="s">
        <v>762</v>
      </c>
      <c r="B30" s="459"/>
      <c r="C30" s="459"/>
      <c r="D30" s="459"/>
      <c r="E30" s="459"/>
      <c r="F30" s="459"/>
      <c r="G30" s="459"/>
      <c r="H30" s="459"/>
      <c r="I30" s="165"/>
      <c r="J30" s="165"/>
      <c r="K30" s="4"/>
      <c r="L30" s="4"/>
      <c r="M30" s="4"/>
    </row>
    <row r="31" spans="1:13" ht="15.75" customHeight="1">
      <c r="A31" s="215" t="s">
        <v>763</v>
      </c>
      <c r="B31" s="3"/>
      <c r="C31" s="3"/>
      <c r="D31" s="3"/>
      <c r="E31" s="3"/>
      <c r="F31" s="3"/>
      <c r="G31" s="3"/>
      <c r="H31" s="3"/>
    </row>
    <row r="32" spans="1:13" ht="15.75" customHeight="1">
      <c r="A32" s="379" t="s">
        <v>766</v>
      </c>
      <c r="B32" s="3"/>
      <c r="C32" s="3"/>
      <c r="D32" s="3"/>
      <c r="E32" s="3"/>
      <c r="F32" s="3"/>
      <c r="G32" s="3"/>
      <c r="H32" s="3"/>
    </row>
    <row r="33" spans="1:8" ht="15.75" customHeight="1">
      <c r="A33" s="379" t="s">
        <v>3</v>
      </c>
      <c r="B33" s="3"/>
      <c r="C33" s="3"/>
      <c r="D33" s="3"/>
      <c r="E33" s="3"/>
      <c r="F33" s="3"/>
      <c r="G33" s="3"/>
      <c r="H33" s="3"/>
    </row>
    <row r="34" spans="1:8" ht="15.75" customHeight="1">
      <c r="A34" s="3"/>
      <c r="B34" s="3"/>
      <c r="C34" s="3"/>
      <c r="D34" s="3"/>
      <c r="E34" s="3"/>
      <c r="F34" s="3"/>
      <c r="G34" s="3"/>
      <c r="H34" s="3"/>
    </row>
    <row r="35" spans="1:8" ht="15.75" customHeight="1">
      <c r="A35" s="3"/>
      <c r="B35" s="3"/>
      <c r="C35" s="3"/>
      <c r="D35" s="3"/>
      <c r="E35" s="3"/>
      <c r="F35" s="3"/>
      <c r="G35" s="3"/>
      <c r="H35" s="3"/>
    </row>
    <row r="36" spans="1:8" ht="15.75" customHeight="1">
      <c r="A36" s="3"/>
      <c r="B36" s="3"/>
      <c r="C36" s="3"/>
      <c r="D36" s="3"/>
      <c r="E36" s="3"/>
      <c r="F36" s="3"/>
      <c r="G36" s="3"/>
      <c r="H36" s="3"/>
    </row>
    <row r="37" spans="1:8" ht="15.75" customHeight="1">
      <c r="A37" s="3"/>
      <c r="B37" s="3"/>
      <c r="C37" s="3"/>
      <c r="D37" s="3"/>
      <c r="E37" s="3"/>
      <c r="F37" s="3"/>
      <c r="G37" s="3"/>
      <c r="H37" s="3"/>
    </row>
    <row r="38" spans="1:8" ht="15.75" customHeight="1">
      <c r="A38" s="3"/>
      <c r="B38" s="3"/>
      <c r="C38" s="3"/>
      <c r="D38" s="3"/>
      <c r="E38" s="3"/>
      <c r="F38" s="3"/>
      <c r="G38" s="3"/>
      <c r="H38" s="3"/>
    </row>
  </sheetData>
  <sheetProtection algorithmName="SHA-512" hashValue="7h5oaoKbU7Yaa9YhsmSQdfoC82omtMpWlwv40OgJ5emcWEvGYg/uOdOdUHfjtODCaCgVDDexFHg42DIShVbFWw==" saltValue="XD5xS2VTTODodqDcwgZPeA==" spinCount="100000" sheet="1" objects="1" scenarios="1"/>
  <pageMargins left="0.74791666666666667" right="0.74791666666666667" top="0.98402777777777772" bottom="0.98402777777777772" header="0.51180555555555551" footer="0.51180555555555551"/>
  <pageSetup scale="93" firstPageNumber="0" orientation="landscape" horizontalDpi="300" verticalDpi="300"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7030A0"/>
    <pageSetUpPr fitToPage="1"/>
  </sheetPr>
  <dimension ref="A1:H27"/>
  <sheetViews>
    <sheetView workbookViewId="0">
      <selection activeCell="P24" sqref="P24"/>
    </sheetView>
  </sheetViews>
  <sheetFormatPr defaultColWidth="9.140625" defaultRowHeight="12.75"/>
  <cols>
    <col min="1" max="1" width="9.140625" style="167"/>
    <col min="2" max="2" width="16.85546875" style="167" customWidth="1"/>
    <col min="3" max="3" width="14.85546875" style="167" customWidth="1"/>
    <col min="4" max="4" width="9.140625" style="167"/>
    <col min="5" max="5" width="12" style="167" customWidth="1"/>
    <col min="6" max="16384" width="9.140625" style="167"/>
  </cols>
  <sheetData>
    <row r="1" spans="1:6" s="168" customFormat="1" ht="15">
      <c r="A1" s="168" t="s">
        <v>344</v>
      </c>
    </row>
    <row r="2" spans="1:6" s="168" customFormat="1" ht="15"/>
    <row r="3" spans="1:6" s="168" customFormat="1" ht="15">
      <c r="A3" s="168" t="s">
        <v>345</v>
      </c>
    </row>
    <row r="5" spans="1:6" ht="14.25" customHeight="1">
      <c r="A5" s="167" t="s">
        <v>346</v>
      </c>
      <c r="B5" s="169">
        <f>0.4329*B6*B7</f>
        <v>7.2727200000000005</v>
      </c>
      <c r="C5" s="168" t="s">
        <v>347</v>
      </c>
    </row>
    <row r="6" spans="1:6">
      <c r="A6" s="167" t="s">
        <v>348</v>
      </c>
      <c r="B6" s="461">
        <v>16</v>
      </c>
      <c r="C6" s="167" t="s">
        <v>349</v>
      </c>
    </row>
    <row r="7" spans="1:6">
      <c r="A7" s="167" t="s">
        <v>350</v>
      </c>
      <c r="B7" s="461">
        <v>1.05</v>
      </c>
      <c r="C7" s="167" t="s">
        <v>351</v>
      </c>
    </row>
    <row r="9" spans="1:6" s="168" customFormat="1" ht="14.25" customHeight="1">
      <c r="A9" s="168" t="s">
        <v>352</v>
      </c>
    </row>
    <row r="11" spans="1:6" ht="15">
      <c r="A11" s="167" t="s">
        <v>346</v>
      </c>
      <c r="B11" s="461">
        <v>7.27</v>
      </c>
      <c r="C11" s="170" t="s">
        <v>347</v>
      </c>
      <c r="F11" s="167" t="s">
        <v>35</v>
      </c>
    </row>
    <row r="12" spans="1:6" ht="15">
      <c r="A12" s="167" t="s">
        <v>348</v>
      </c>
      <c r="B12" s="169">
        <f>(B11*2.31)/B13</f>
        <v>15.993999999999996</v>
      </c>
      <c r="C12" s="168" t="s">
        <v>349</v>
      </c>
    </row>
    <row r="13" spans="1:6" ht="15">
      <c r="A13" s="167" t="s">
        <v>350</v>
      </c>
      <c r="B13" s="462">
        <v>1.05</v>
      </c>
      <c r="C13" s="170" t="s">
        <v>351</v>
      </c>
    </row>
    <row r="15" spans="1:6" s="168" customFormat="1" ht="15">
      <c r="A15" s="168" t="s">
        <v>353</v>
      </c>
      <c r="D15" s="171">
        <v>30</v>
      </c>
      <c r="E15" s="172" t="s">
        <v>354</v>
      </c>
    </row>
    <row r="16" spans="1:6" ht="15">
      <c r="D16" s="171" t="s">
        <v>355</v>
      </c>
      <c r="E16" s="172" t="s">
        <v>356</v>
      </c>
    </row>
    <row r="17" spans="1:8" ht="15">
      <c r="A17" s="167" t="s">
        <v>357</v>
      </c>
      <c r="B17" s="173">
        <f>(141.5/B18)-131.5</f>
        <v>45.375</v>
      </c>
      <c r="D17" s="171" t="s">
        <v>358</v>
      </c>
      <c r="E17" s="172" t="s">
        <v>359</v>
      </c>
    </row>
    <row r="18" spans="1:8" ht="15">
      <c r="A18" s="167" t="s">
        <v>350</v>
      </c>
      <c r="B18" s="461">
        <v>0.8</v>
      </c>
      <c r="D18" s="171" t="s">
        <v>360</v>
      </c>
      <c r="E18" s="172" t="s">
        <v>361</v>
      </c>
    </row>
    <row r="19" spans="1:8" ht="15">
      <c r="B19" s="174"/>
      <c r="D19" s="171">
        <v>10</v>
      </c>
      <c r="E19" s="172" t="s">
        <v>362</v>
      </c>
      <c r="H19" s="167" t="s">
        <v>35</v>
      </c>
    </row>
    <row r="20" spans="1:8" ht="15">
      <c r="A20" s="175" t="s">
        <v>357</v>
      </c>
      <c r="B20" s="461">
        <v>45.38</v>
      </c>
      <c r="D20" s="171">
        <v>8</v>
      </c>
      <c r="E20" s="172" t="s">
        <v>363</v>
      </c>
    </row>
    <row r="21" spans="1:8" ht="15">
      <c r="A21" s="175" t="s">
        <v>350</v>
      </c>
      <c r="B21" s="176">
        <f>1/((1/141.5)*(B20+131.5))</f>
        <v>0.79997738579828137</v>
      </c>
    </row>
    <row r="22" spans="1:8" ht="15">
      <c r="A22" s="175"/>
      <c r="B22" s="177"/>
    </row>
    <row r="23" spans="1:8">
      <c r="A23" s="379" t="s">
        <v>666</v>
      </c>
      <c r="B23" s="17"/>
      <c r="C23" s="17"/>
      <c r="D23" s="17"/>
    </row>
    <row r="24" spans="1:8" ht="15.75">
      <c r="A24" s="380" t="s">
        <v>762</v>
      </c>
      <c r="B24" s="460"/>
      <c r="C24" s="460"/>
      <c r="D24" s="460"/>
      <c r="E24" s="178"/>
      <c r="F24" s="178"/>
      <c r="G24" s="178"/>
    </row>
    <row r="25" spans="1:8" ht="15.75">
      <c r="A25" s="136" t="s">
        <v>763</v>
      </c>
      <c r="B25" s="460"/>
      <c r="C25" s="460"/>
      <c r="D25" s="460"/>
      <c r="E25" s="178"/>
      <c r="F25" s="178"/>
      <c r="G25" s="178"/>
    </row>
    <row r="26" spans="1:8">
      <c r="A26" s="379" t="s">
        <v>766</v>
      </c>
      <c r="B26" s="17"/>
      <c r="C26" s="17"/>
      <c r="D26" s="17"/>
    </row>
    <row r="27" spans="1:8">
      <c r="A27" s="379" t="s">
        <v>3</v>
      </c>
      <c r="B27" s="17"/>
      <c r="C27" s="17"/>
      <c r="D27" s="17"/>
    </row>
  </sheetData>
  <sheetProtection algorithmName="SHA-512" hashValue="vZ9cT5UJhtzBJ8rPiB41S/IlLcmJ20uJeM4ylAnQIt0h39WZzR7FwSwVk4qKRNZiWasWUs2ocQldLInA52lvsQ==" saltValue="d3nNsePuNvT1MWwB8S6SVQ==" spinCount="100000" sheet="1" objects="1" scenarios="1"/>
  <pageMargins left="0.78749999999999998" right="0.78749999999999998" top="0.78749999999999998" bottom="0.78749999999999998" header="0.51180555555555596" footer="0.51180555555555596"/>
  <pageSetup firstPageNumber="0" orientation="portrait" horizontalDpi="300" verticalDpi="300"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7030A0"/>
    <pageSetUpPr fitToPage="1"/>
  </sheetPr>
  <dimension ref="A1:IU33"/>
  <sheetViews>
    <sheetView workbookViewId="0">
      <selection activeCell="D7" sqref="D7"/>
    </sheetView>
  </sheetViews>
  <sheetFormatPr defaultColWidth="11.5703125" defaultRowHeight="15.75" customHeight="1"/>
  <cols>
    <col min="1" max="3" width="17.140625" style="167" customWidth="1"/>
    <col min="4" max="4" width="8.42578125" style="167" customWidth="1"/>
    <col min="5" max="5" width="17.140625" style="167" customWidth="1"/>
    <col min="6" max="255" width="17.28515625" style="167" customWidth="1"/>
    <col min="256" max="16384" width="11.5703125" style="21"/>
  </cols>
  <sheetData>
    <row r="1" spans="1:8" ht="12.75" customHeight="1">
      <c r="A1" s="21" t="s">
        <v>397</v>
      </c>
      <c r="B1" s="781">
        <v>13</v>
      </c>
      <c r="C1" s="781">
        <v>14.73</v>
      </c>
      <c r="D1" s="781">
        <v>13</v>
      </c>
      <c r="E1" s="21" t="s">
        <v>398</v>
      </c>
      <c r="F1" s="21"/>
      <c r="G1" s="21"/>
      <c r="H1" s="21"/>
    </row>
    <row r="2" spans="1:8" ht="12.75" customHeight="1">
      <c r="A2" s="21" t="s">
        <v>399</v>
      </c>
      <c r="B2" s="781">
        <v>100</v>
      </c>
      <c r="C2" s="781">
        <v>100</v>
      </c>
      <c r="D2" s="781">
        <v>100</v>
      </c>
      <c r="E2" s="21" t="s">
        <v>400</v>
      </c>
      <c r="F2" s="21"/>
      <c r="G2" s="21"/>
      <c r="H2" s="21"/>
    </row>
    <row r="3" spans="1:8" ht="12.75" customHeight="1">
      <c r="A3" s="21" t="s">
        <v>401</v>
      </c>
      <c r="B3" s="781">
        <v>540</v>
      </c>
      <c r="C3" s="781">
        <v>480</v>
      </c>
      <c r="D3" s="781">
        <v>540</v>
      </c>
      <c r="E3" s="21" t="s">
        <v>402</v>
      </c>
      <c r="F3" s="21"/>
      <c r="G3" s="21"/>
      <c r="H3" s="21"/>
    </row>
    <row r="4" spans="1:8" ht="12.75" customHeight="1">
      <c r="A4" s="21" t="s">
        <v>403</v>
      </c>
      <c r="B4" s="185">
        <f>(B1*B2*B6)/(B5*B3)</f>
        <v>14.727668845315904</v>
      </c>
      <c r="C4" s="782">
        <v>14.73</v>
      </c>
      <c r="D4" s="782">
        <v>14.73</v>
      </c>
      <c r="E4" s="21" t="s">
        <v>404</v>
      </c>
      <c r="F4" s="21"/>
      <c r="G4" s="21"/>
      <c r="H4" s="21"/>
    </row>
    <row r="5" spans="1:8" ht="12.75" customHeight="1">
      <c r="A5" s="21" t="s">
        <v>405</v>
      </c>
      <c r="B5" s="783">
        <v>85</v>
      </c>
      <c r="C5" s="186">
        <f>(C1*C2*C6)/(C4*C3)</f>
        <v>108.33333333333333</v>
      </c>
      <c r="D5" s="783">
        <v>85</v>
      </c>
      <c r="E5" s="21" t="s">
        <v>400</v>
      </c>
      <c r="F5" s="21"/>
      <c r="G5" s="21"/>
      <c r="H5" s="21"/>
    </row>
    <row r="6" spans="1:8" ht="12.75" customHeight="1">
      <c r="A6" s="21" t="s">
        <v>406</v>
      </c>
      <c r="B6" s="783">
        <v>520</v>
      </c>
      <c r="C6" s="783">
        <v>520</v>
      </c>
      <c r="D6" s="186">
        <f>(D4*D5*D3)/(D1*D2)</f>
        <v>520.08230769230772</v>
      </c>
      <c r="E6" s="21" t="s">
        <v>407</v>
      </c>
      <c r="F6" s="21"/>
      <c r="G6" s="21"/>
      <c r="H6" s="21"/>
    </row>
    <row r="7" spans="1:8" ht="12.75" customHeight="1">
      <c r="A7" s="21"/>
      <c r="B7" s="21"/>
      <c r="C7" s="21"/>
      <c r="D7" s="21"/>
      <c r="E7" s="21"/>
      <c r="F7" s="21"/>
      <c r="G7" s="21"/>
      <c r="H7" s="21"/>
    </row>
    <row r="8" spans="1:8" ht="12.75" customHeight="1">
      <c r="A8" s="21"/>
      <c r="B8" s="21"/>
      <c r="C8" s="21"/>
      <c r="D8" s="21"/>
      <c r="E8" s="21"/>
      <c r="F8" s="21"/>
      <c r="G8" s="21"/>
      <c r="H8" s="21"/>
    </row>
    <row r="9" spans="1:8" ht="12.75" customHeight="1">
      <c r="A9" s="21"/>
      <c r="B9" s="187" t="s">
        <v>408</v>
      </c>
      <c r="C9" s="1318" t="s">
        <v>109</v>
      </c>
      <c r="D9" s="187" t="s">
        <v>409</v>
      </c>
      <c r="E9" s="21"/>
      <c r="F9" s="21"/>
      <c r="G9" s="21"/>
      <c r="H9" s="21"/>
    </row>
    <row r="10" spans="1:8" ht="13.5" customHeight="1">
      <c r="A10" s="21"/>
      <c r="B10" s="188" t="s">
        <v>410</v>
      </c>
      <c r="C10" s="1318"/>
      <c r="D10" s="188" t="s">
        <v>411</v>
      </c>
      <c r="E10" s="21"/>
      <c r="F10" s="21"/>
      <c r="G10" s="21"/>
      <c r="H10" s="21"/>
    </row>
    <row r="11" spans="1:8" ht="12.75" customHeight="1">
      <c r="A11" s="21"/>
      <c r="B11" s="21"/>
      <c r="C11" s="21"/>
      <c r="D11" s="21"/>
    </row>
    <row r="12" spans="1:8" ht="12.75" customHeight="1">
      <c r="A12" s="379" t="s">
        <v>666</v>
      </c>
      <c r="B12" s="21"/>
      <c r="C12" s="21"/>
      <c r="D12" s="21"/>
    </row>
    <row r="13" spans="1:8" ht="12.75" customHeight="1">
      <c r="A13" s="380" t="s">
        <v>762</v>
      </c>
      <c r="B13" s="28"/>
      <c r="D13" s="25"/>
    </row>
    <row r="14" spans="1:8" ht="12.75" customHeight="1">
      <c r="A14" s="136" t="s">
        <v>763</v>
      </c>
      <c r="D14" s="25"/>
    </row>
    <row r="15" spans="1:8" ht="12.75" customHeight="1">
      <c r="A15" s="379" t="s">
        <v>766</v>
      </c>
      <c r="D15" s="25"/>
    </row>
    <row r="16" spans="1:8" ht="12.75" customHeight="1">
      <c r="A16" s="379" t="s">
        <v>3</v>
      </c>
      <c r="D16" s="25"/>
    </row>
    <row r="17" spans="1:12" ht="12.75" customHeight="1">
      <c r="D17" s="25"/>
    </row>
    <row r="18" spans="1:12" ht="12.75" customHeight="1">
      <c r="D18" s="25"/>
    </row>
    <row r="19" spans="1:12" ht="12.75" customHeight="1">
      <c r="D19" s="25"/>
    </row>
    <row r="20" spans="1:12" ht="15.75" customHeight="1">
      <c r="A20" s="21"/>
      <c r="B20" s="21"/>
      <c r="C20" s="21" t="s">
        <v>35</v>
      </c>
      <c r="D20" s="21"/>
      <c r="E20" s="21"/>
      <c r="F20" s="21"/>
      <c r="G20" s="21"/>
      <c r="H20" s="21"/>
      <c r="I20" s="21"/>
      <c r="J20" s="21"/>
      <c r="K20" s="21"/>
      <c r="L20" s="21"/>
    </row>
    <row r="21" spans="1:12" ht="15.75" customHeight="1">
      <c r="A21" s="21"/>
      <c r="B21" s="21"/>
      <c r="C21" s="21"/>
      <c r="D21" s="21"/>
      <c r="E21" s="21"/>
      <c r="F21" s="21"/>
      <c r="G21" s="21"/>
      <c r="H21" s="21"/>
      <c r="I21" s="21"/>
      <c r="J21" s="21"/>
      <c r="K21" s="21"/>
      <c r="L21" s="21"/>
    </row>
    <row r="22" spans="1:12" ht="15.75" customHeight="1">
      <c r="A22" s="21"/>
      <c r="B22" s="21"/>
      <c r="C22" s="21"/>
      <c r="D22" s="21"/>
      <c r="E22" s="21"/>
      <c r="F22" s="21"/>
      <c r="G22" s="21"/>
      <c r="H22" s="21"/>
      <c r="I22" s="21"/>
      <c r="J22" s="21"/>
      <c r="K22" s="21"/>
      <c r="L22" s="21"/>
    </row>
    <row r="23" spans="1:12" ht="15.75" customHeight="1">
      <c r="A23" s="21"/>
      <c r="B23" s="21"/>
      <c r="C23" s="21"/>
      <c r="D23" s="21"/>
      <c r="E23" s="21"/>
      <c r="F23" s="21"/>
      <c r="G23" s="21"/>
      <c r="H23" s="21"/>
      <c r="I23" s="21"/>
      <c r="J23" s="21"/>
      <c r="K23" s="21"/>
      <c r="L23" s="21"/>
    </row>
    <row r="24" spans="1:12" ht="15.75" customHeight="1">
      <c r="A24" s="21"/>
      <c r="B24" s="21"/>
      <c r="C24" s="21"/>
      <c r="D24" s="21"/>
      <c r="E24" s="21"/>
      <c r="F24" s="21"/>
      <c r="G24" s="21"/>
      <c r="H24" s="21"/>
      <c r="I24" s="21"/>
      <c r="J24" s="21"/>
      <c r="K24" s="21"/>
      <c r="L24" s="21"/>
    </row>
    <row r="25" spans="1:12" ht="15.75" customHeight="1">
      <c r="A25" s="21"/>
      <c r="B25" s="21"/>
      <c r="C25" s="21"/>
      <c r="D25" s="21"/>
      <c r="E25" s="21"/>
      <c r="F25" s="21"/>
      <c r="G25" s="21"/>
      <c r="H25" s="21"/>
      <c r="I25" s="21"/>
      <c r="J25" s="21"/>
      <c r="K25" s="21"/>
      <c r="L25" s="21"/>
    </row>
    <row r="26" spans="1:12" ht="15.75" customHeight="1">
      <c r="A26" s="21"/>
      <c r="B26" s="21"/>
      <c r="C26" s="21"/>
      <c r="D26" s="21"/>
      <c r="E26" s="21"/>
      <c r="F26" s="21"/>
      <c r="G26" s="21"/>
      <c r="H26" s="21"/>
      <c r="I26" s="21"/>
      <c r="J26" s="21"/>
      <c r="K26" s="21"/>
      <c r="L26" s="21"/>
    </row>
    <row r="27" spans="1:12" ht="15.75" customHeight="1">
      <c r="A27" s="21"/>
      <c r="B27" s="21"/>
      <c r="C27" s="21"/>
      <c r="D27" s="21"/>
      <c r="E27" s="21"/>
      <c r="F27" s="21"/>
      <c r="G27" s="21"/>
      <c r="H27" s="21"/>
      <c r="I27" s="21"/>
      <c r="J27" s="21"/>
      <c r="K27" s="21"/>
      <c r="L27" s="21"/>
    </row>
    <row r="28" spans="1:12" ht="15.75" customHeight="1">
      <c r="A28" s="21"/>
      <c r="B28" s="21"/>
      <c r="C28" s="21"/>
      <c r="D28" s="21"/>
      <c r="E28" s="21"/>
      <c r="F28" s="21"/>
      <c r="G28" s="21"/>
      <c r="H28" s="21"/>
      <c r="I28" s="21"/>
      <c r="J28" s="21"/>
      <c r="K28" s="21"/>
      <c r="L28" s="21"/>
    </row>
    <row r="29" spans="1:12" ht="15.75" customHeight="1">
      <c r="A29" s="21"/>
      <c r="B29" s="21"/>
      <c r="C29" s="21"/>
      <c r="D29" s="21"/>
      <c r="E29" s="21"/>
      <c r="F29" s="21"/>
      <c r="G29" s="21"/>
      <c r="H29" s="21"/>
      <c r="I29" s="21"/>
      <c r="J29" s="21"/>
      <c r="K29" s="21"/>
      <c r="L29" s="21"/>
    </row>
    <row r="30" spans="1:12" ht="15.75" customHeight="1">
      <c r="A30" s="21"/>
      <c r="B30" s="21"/>
      <c r="C30" s="21"/>
      <c r="D30" s="21"/>
      <c r="E30" s="21"/>
      <c r="F30" s="21"/>
      <c r="G30" s="21"/>
      <c r="H30" s="21"/>
      <c r="I30" s="21"/>
      <c r="J30" s="21"/>
      <c r="K30" s="21"/>
      <c r="L30" s="21"/>
    </row>
    <row r="31" spans="1:12" ht="15.75" customHeight="1">
      <c r="A31" s="21"/>
      <c r="B31" s="21"/>
      <c r="C31" s="21"/>
      <c r="D31" s="21"/>
      <c r="E31" s="21"/>
      <c r="F31" s="21"/>
      <c r="G31" s="21"/>
      <c r="H31" s="21"/>
      <c r="I31" s="21"/>
      <c r="J31" s="21"/>
      <c r="K31" s="21"/>
      <c r="L31" s="21"/>
    </row>
    <row r="32" spans="1:12" ht="15.75" customHeight="1">
      <c r="A32" s="21"/>
      <c r="B32" s="21"/>
      <c r="C32" s="21"/>
      <c r="D32" s="21"/>
      <c r="E32" s="21"/>
      <c r="F32" s="21"/>
      <c r="G32" s="21"/>
      <c r="H32" s="21"/>
      <c r="I32" s="21"/>
      <c r="J32" s="21"/>
      <c r="K32" s="21"/>
      <c r="L32" s="21"/>
    </row>
    <row r="33" spans="1:12" ht="15.75" customHeight="1">
      <c r="A33" s="21"/>
      <c r="B33" s="21"/>
      <c r="C33" s="21"/>
      <c r="D33" s="21"/>
      <c r="E33" s="21"/>
      <c r="F33" s="21"/>
      <c r="G33" s="21"/>
      <c r="H33" s="21"/>
      <c r="I33" s="21"/>
      <c r="J33" s="21"/>
      <c r="K33" s="21"/>
      <c r="L33" s="21"/>
    </row>
  </sheetData>
  <sheetProtection algorithmName="SHA-512" hashValue="SsnXWPyWZVrtf2GEyBupT8Wk8JxrXkkU2cF7qlkC6sWmmWg/nciHeu+LqFPmFAyn7/zuBs8bgmltLspts2NGng==" saltValue="u+vzceuNwZwc//x9I6rXbg==" spinCount="100000" sheet="1" objects="1" scenarios="1"/>
  <mergeCells count="1">
    <mergeCell ref="C9:C10"/>
  </mergeCells>
  <pageMargins left="0.74791666666666667" right="0.74791666666666667" top="0.98402777777777772" bottom="0.98402777777777772" header="0.51180555555555551" footer="0.51180555555555551"/>
  <pageSetup scale="85" firstPageNumber="0" orientation="landscape" horizontalDpi="300" verticalDpi="300"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7030A0"/>
    <pageSetUpPr fitToPage="1"/>
  </sheetPr>
  <dimension ref="A1:IR20"/>
  <sheetViews>
    <sheetView workbookViewId="0">
      <selection activeCell="C11" sqref="C11"/>
    </sheetView>
  </sheetViews>
  <sheetFormatPr defaultColWidth="11.5703125" defaultRowHeight="15.75" customHeight="1"/>
  <cols>
    <col min="1" max="6" width="17.140625" style="17" customWidth="1"/>
    <col min="7" max="252" width="17.28515625" style="17" customWidth="1"/>
    <col min="253" max="16384" width="11.5703125" style="18"/>
  </cols>
  <sheetData>
    <row r="1" spans="1:3" ht="12.75" customHeight="1">
      <c r="A1" s="468" t="s">
        <v>412</v>
      </c>
    </row>
    <row r="2" spans="1:3" ht="12.75" customHeight="1"/>
    <row r="3" spans="1:3" ht="12.75" customHeight="1">
      <c r="A3" s="465">
        <v>46</v>
      </c>
      <c r="B3" s="109" t="s">
        <v>414</v>
      </c>
    </row>
    <row r="4" spans="1:3" ht="12.75" customHeight="1">
      <c r="A4" s="784">
        <f>(A3*0.9)+29</f>
        <v>70.400000000000006</v>
      </c>
      <c r="B4" s="109" t="s">
        <v>415</v>
      </c>
      <c r="C4" s="468" t="s">
        <v>413</v>
      </c>
    </row>
    <row r="5" spans="1:3" ht="12.75" customHeight="1"/>
    <row r="6" spans="1:3" ht="12.75" customHeight="1">
      <c r="A6" s="379" t="s">
        <v>666</v>
      </c>
    </row>
    <row r="7" spans="1:3" ht="12.75" customHeight="1">
      <c r="A7" s="380" t="s">
        <v>762</v>
      </c>
    </row>
    <row r="8" spans="1:3" ht="12.75" customHeight="1">
      <c r="A8" s="136" t="s">
        <v>763</v>
      </c>
    </row>
    <row r="9" spans="1:3" ht="12.75" customHeight="1">
      <c r="A9" s="379" t="s">
        <v>766</v>
      </c>
    </row>
    <row r="10" spans="1:3" ht="12.75" customHeight="1">
      <c r="A10" s="379" t="s">
        <v>3</v>
      </c>
    </row>
    <row r="11" spans="1:3" ht="12.75" customHeight="1"/>
    <row r="12" spans="1:3" ht="12.75" customHeight="1"/>
    <row r="13" spans="1:3" ht="12.75" customHeight="1"/>
    <row r="14" spans="1:3" ht="12.75" customHeight="1"/>
    <row r="15" spans="1:3" ht="12.75" customHeight="1"/>
    <row r="16" spans="1:3" ht="12.75" customHeight="1"/>
    <row r="17" ht="12.75" customHeight="1"/>
    <row r="18" ht="12.75" customHeight="1"/>
    <row r="19" ht="12.75" customHeight="1"/>
    <row r="20" ht="12.75" customHeight="1"/>
  </sheetData>
  <sheetProtection algorithmName="SHA-512" hashValue="XEUPXrDffiVzEI/y6Uc6VnhJxbWh/SgF8E/nvS6DDCcXlKZc6HPk2Y+Xogy+ONhVh5vAzEbdtX9SQMFkVYaomw==" saltValue="eUkia55i4q/GRmik/oFJeg==" spinCount="100000" sheet="1" objects="1" scenarios="1"/>
  <pageMargins left="0.74791666666666701" right="0.74791666666666701" top="0.98402777777777795" bottom="0.98402777777777795" header="0.51180555555555596" footer="0.51180555555555596"/>
  <pageSetup firstPageNumber="0" orientation="portrait" horizontalDpi="300" verticalDpi="300"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7030A0"/>
    <pageSetUpPr fitToPage="1"/>
  </sheetPr>
  <dimension ref="A1:G47"/>
  <sheetViews>
    <sheetView workbookViewId="0">
      <selection activeCell="H34" sqref="H34"/>
    </sheetView>
  </sheetViews>
  <sheetFormatPr defaultColWidth="11.5703125" defaultRowHeight="12.75"/>
  <cols>
    <col min="1" max="3" width="11.5703125" style="21"/>
    <col min="4" max="4" width="7" style="21" customWidth="1"/>
    <col min="5" max="16384" width="11.5703125" style="21"/>
  </cols>
  <sheetData>
    <row r="1" spans="1:7" s="472" customFormat="1" ht="22.5">
      <c r="A1" s="470" t="s">
        <v>765</v>
      </c>
      <c r="B1" s="471" t="s">
        <v>462</v>
      </c>
      <c r="C1" s="471" t="s">
        <v>463</v>
      </c>
      <c r="E1" s="470" t="s">
        <v>765</v>
      </c>
      <c r="F1" s="471" t="s">
        <v>462</v>
      </c>
      <c r="G1" s="471" t="s">
        <v>463</v>
      </c>
    </row>
    <row r="2" spans="1:7">
      <c r="A2" s="469">
        <v>10</v>
      </c>
      <c r="B2" s="469">
        <v>1</v>
      </c>
      <c r="C2" s="469">
        <v>8.33</v>
      </c>
      <c r="E2" s="469">
        <v>55</v>
      </c>
      <c r="F2" s="469">
        <v>0.75970000000000004</v>
      </c>
      <c r="G2" s="469">
        <v>6.32</v>
      </c>
    </row>
    <row r="3" spans="1:7">
      <c r="A3" s="469">
        <v>11</v>
      </c>
      <c r="B3" s="469">
        <v>0.99299999999999999</v>
      </c>
      <c r="C3" s="469">
        <v>8.27</v>
      </c>
      <c r="E3" s="469">
        <v>56</v>
      </c>
      <c r="F3" s="469">
        <v>0.75560000000000005</v>
      </c>
      <c r="G3" s="469">
        <v>6.28</v>
      </c>
    </row>
    <row r="4" spans="1:7">
      <c r="A4" s="469">
        <v>12</v>
      </c>
      <c r="B4" s="469">
        <v>0.98599999999999999</v>
      </c>
      <c r="C4" s="469">
        <v>8.2100000000000009</v>
      </c>
      <c r="E4" s="469">
        <v>57</v>
      </c>
      <c r="F4" s="469">
        <v>0.75160000000000005</v>
      </c>
      <c r="G4" s="469">
        <v>6.28</v>
      </c>
    </row>
    <row r="5" spans="1:7">
      <c r="A5" s="469">
        <v>13</v>
      </c>
      <c r="B5" s="469">
        <v>0.97899999999999998</v>
      </c>
      <c r="C5" s="469">
        <v>8.16</v>
      </c>
      <c r="E5" s="469">
        <v>58</v>
      </c>
      <c r="F5" s="469">
        <v>0.74760000000000004</v>
      </c>
      <c r="G5" s="469">
        <v>6.22</v>
      </c>
    </row>
    <row r="6" spans="1:7">
      <c r="A6" s="469">
        <v>14</v>
      </c>
      <c r="B6" s="469">
        <v>0.97299999999999998</v>
      </c>
      <c r="C6" s="469">
        <v>8.1</v>
      </c>
      <c r="E6" s="469">
        <v>59</v>
      </c>
      <c r="F6" s="469">
        <v>0.74370000000000003</v>
      </c>
      <c r="G6" s="469">
        <v>6.18</v>
      </c>
    </row>
    <row r="7" spans="1:7">
      <c r="A7" s="469">
        <v>15</v>
      </c>
      <c r="B7" s="469">
        <v>0.96599999999999997</v>
      </c>
      <c r="C7" s="469">
        <v>8.0399999999999991</v>
      </c>
      <c r="E7" s="469">
        <v>60</v>
      </c>
      <c r="F7" s="469">
        <v>0.73980000000000001</v>
      </c>
      <c r="G7" s="469">
        <v>6.15</v>
      </c>
    </row>
    <row r="8" spans="1:7">
      <c r="A8" s="469">
        <v>16</v>
      </c>
      <c r="B8" s="469">
        <v>0.95900000000000007</v>
      </c>
      <c r="C8" s="469">
        <v>7.99</v>
      </c>
      <c r="E8" s="469">
        <v>61</v>
      </c>
      <c r="F8" s="469">
        <v>0.7359</v>
      </c>
      <c r="G8" s="469">
        <v>6.12</v>
      </c>
    </row>
    <row r="9" spans="1:7">
      <c r="A9" s="469">
        <v>17</v>
      </c>
      <c r="B9" s="469">
        <v>0.95300000000000007</v>
      </c>
      <c r="C9" s="469">
        <v>7.94</v>
      </c>
      <c r="E9" s="469">
        <v>62</v>
      </c>
      <c r="F9" s="469">
        <v>0.73099999999999998</v>
      </c>
      <c r="G9" s="469">
        <v>6.09</v>
      </c>
    </row>
    <row r="10" spans="1:7">
      <c r="A10" s="469">
        <v>18</v>
      </c>
      <c r="B10" s="469">
        <v>0.94600000000000006</v>
      </c>
      <c r="C10" s="469">
        <v>7.88</v>
      </c>
      <c r="E10" s="469">
        <v>63</v>
      </c>
      <c r="F10" s="469">
        <v>0.72830000000000006</v>
      </c>
      <c r="G10" s="469">
        <v>6.06</v>
      </c>
    </row>
    <row r="11" spans="1:7">
      <c r="A11" s="469">
        <v>19</v>
      </c>
      <c r="B11" s="469">
        <v>0.94</v>
      </c>
      <c r="C11" s="469">
        <v>7.83</v>
      </c>
      <c r="E11" s="469">
        <v>64</v>
      </c>
      <c r="F11" s="469">
        <v>0.72460000000000002</v>
      </c>
      <c r="G11" s="469">
        <v>6.03</v>
      </c>
    </row>
    <row r="12" spans="1:7">
      <c r="A12" s="469">
        <v>20</v>
      </c>
      <c r="B12" s="469">
        <v>0.93400000000000005</v>
      </c>
      <c r="C12" s="469">
        <v>7.78</v>
      </c>
      <c r="E12" s="469">
        <v>65</v>
      </c>
      <c r="F12" s="469">
        <v>0.72089999999999999</v>
      </c>
      <c r="G12" s="469">
        <v>5.99</v>
      </c>
    </row>
    <row r="13" spans="1:7">
      <c r="A13" s="469">
        <v>21</v>
      </c>
      <c r="B13" s="469">
        <v>0.92800000000000005</v>
      </c>
      <c r="C13" s="469">
        <v>7.73</v>
      </c>
      <c r="E13" s="469">
        <v>66</v>
      </c>
      <c r="F13" s="469">
        <v>0.71720000000000006</v>
      </c>
      <c r="G13" s="469">
        <v>5.96</v>
      </c>
    </row>
    <row r="14" spans="1:7">
      <c r="A14" s="469">
        <v>22</v>
      </c>
      <c r="B14" s="469">
        <v>0.92100000000000004</v>
      </c>
      <c r="C14" s="469">
        <v>7.68</v>
      </c>
      <c r="E14" s="469">
        <v>67</v>
      </c>
      <c r="F14" s="469">
        <v>0.71360000000000001</v>
      </c>
      <c r="G14" s="469">
        <v>5.93</v>
      </c>
    </row>
    <row r="15" spans="1:7">
      <c r="A15" s="469">
        <v>23</v>
      </c>
      <c r="B15" s="469">
        <v>0.91600000000000004</v>
      </c>
      <c r="C15" s="469">
        <v>7.63</v>
      </c>
      <c r="E15" s="469">
        <v>68</v>
      </c>
      <c r="F15" s="469">
        <v>0.70900000000000007</v>
      </c>
      <c r="G15" s="469">
        <v>5.9</v>
      </c>
    </row>
    <row r="16" spans="1:7">
      <c r="A16" s="469">
        <v>24</v>
      </c>
      <c r="B16" s="469">
        <v>0.91</v>
      </c>
      <c r="C16" s="469">
        <v>7.58</v>
      </c>
      <c r="E16" s="469">
        <v>69</v>
      </c>
      <c r="F16" s="469">
        <v>0.70650000000000002</v>
      </c>
      <c r="G16" s="469">
        <v>5.87</v>
      </c>
    </row>
    <row r="17" spans="1:7">
      <c r="A17" s="469">
        <v>25</v>
      </c>
      <c r="B17" s="469">
        <v>0.90400000000000003</v>
      </c>
      <c r="C17" s="469">
        <v>7.53</v>
      </c>
      <c r="E17" s="469">
        <v>70</v>
      </c>
      <c r="F17" s="469">
        <v>0.70200000000000007</v>
      </c>
      <c r="G17" s="469">
        <v>5.85</v>
      </c>
    </row>
    <row r="18" spans="1:7">
      <c r="A18" s="469">
        <v>26</v>
      </c>
      <c r="B18" s="469">
        <v>0.89800000000000002</v>
      </c>
      <c r="C18" s="469">
        <v>7.48</v>
      </c>
      <c r="E18" s="469">
        <v>71</v>
      </c>
      <c r="F18" s="469">
        <v>0.69950000000000001</v>
      </c>
      <c r="G18" s="469">
        <v>5.82</v>
      </c>
    </row>
    <row r="19" spans="1:7">
      <c r="A19" s="469">
        <v>27</v>
      </c>
      <c r="B19" s="469">
        <v>0.89300000000000002</v>
      </c>
      <c r="C19" s="469">
        <v>7.43</v>
      </c>
      <c r="E19" s="469">
        <v>72</v>
      </c>
      <c r="F19" s="469">
        <v>0.69500000000000006</v>
      </c>
      <c r="G19" s="469">
        <v>5.79</v>
      </c>
    </row>
    <row r="20" spans="1:7">
      <c r="A20" s="469">
        <v>28</v>
      </c>
      <c r="B20" s="469">
        <v>0.88700000000000001</v>
      </c>
      <c r="C20" s="469">
        <v>7.39</v>
      </c>
      <c r="E20" s="469">
        <v>73</v>
      </c>
      <c r="F20" s="469">
        <v>0.69259999999999999</v>
      </c>
      <c r="G20" s="469">
        <v>5.76</v>
      </c>
    </row>
    <row r="21" spans="1:7">
      <c r="A21" s="469">
        <v>29</v>
      </c>
      <c r="B21" s="469">
        <v>0.88200000000000001</v>
      </c>
      <c r="C21" s="469">
        <v>7.34</v>
      </c>
      <c r="E21" s="469">
        <v>74</v>
      </c>
      <c r="F21" s="469">
        <v>0.68930000000000002</v>
      </c>
      <c r="G21" s="469">
        <v>5.73</v>
      </c>
    </row>
    <row r="22" spans="1:7">
      <c r="A22" s="469">
        <v>30</v>
      </c>
      <c r="B22" s="469">
        <v>0.876</v>
      </c>
      <c r="C22" s="469">
        <v>7.3</v>
      </c>
      <c r="E22" s="469">
        <v>75</v>
      </c>
      <c r="F22" s="469">
        <v>0.68590000000000007</v>
      </c>
      <c r="G22" s="469">
        <v>5.7</v>
      </c>
    </row>
    <row r="23" spans="1:7">
      <c r="A23" s="469">
        <v>31</v>
      </c>
      <c r="B23" s="469">
        <v>0.871</v>
      </c>
      <c r="C23" s="469">
        <v>7.25</v>
      </c>
      <c r="E23" s="469">
        <v>76</v>
      </c>
      <c r="F23" s="469">
        <v>0.68259999999999998</v>
      </c>
      <c r="G23" s="469">
        <v>5.68</v>
      </c>
    </row>
    <row r="24" spans="1:7">
      <c r="A24" s="469">
        <v>32</v>
      </c>
      <c r="B24" s="469">
        <v>0.86499999999999999</v>
      </c>
      <c r="C24" s="469">
        <v>7.21</v>
      </c>
      <c r="E24" s="469">
        <v>77</v>
      </c>
      <c r="F24" s="469">
        <v>0.67930000000000001</v>
      </c>
      <c r="G24" s="469">
        <v>5.65</v>
      </c>
    </row>
    <row r="25" spans="1:7">
      <c r="A25" s="469">
        <v>33</v>
      </c>
      <c r="B25" s="469">
        <v>0.86</v>
      </c>
      <c r="C25" s="469">
        <v>7.16</v>
      </c>
      <c r="E25" s="469">
        <v>78</v>
      </c>
      <c r="F25" s="469">
        <v>0.67500000000000004</v>
      </c>
      <c r="G25" s="469">
        <v>5.62</v>
      </c>
    </row>
    <row r="26" spans="1:7">
      <c r="A26" s="469">
        <v>34</v>
      </c>
      <c r="B26" s="469">
        <v>0.85499999999999998</v>
      </c>
      <c r="C26" s="469">
        <v>7.12</v>
      </c>
      <c r="E26" s="469">
        <v>79</v>
      </c>
      <c r="F26" s="469">
        <v>0.67280000000000006</v>
      </c>
      <c r="G26" s="469">
        <v>5.6</v>
      </c>
    </row>
    <row r="27" spans="1:7">
      <c r="A27" s="469">
        <v>35</v>
      </c>
      <c r="B27" s="469">
        <v>0.85</v>
      </c>
      <c r="C27" s="469">
        <v>7.08</v>
      </c>
      <c r="E27" s="469">
        <v>80</v>
      </c>
      <c r="F27" s="469">
        <v>0.66960000000000008</v>
      </c>
      <c r="G27" s="469">
        <v>5.57</v>
      </c>
    </row>
    <row r="28" spans="1:7">
      <c r="A28" s="469">
        <v>36</v>
      </c>
      <c r="B28" s="469">
        <v>0.84499999999999997</v>
      </c>
      <c r="C28" s="469">
        <v>7.03</v>
      </c>
      <c r="E28" s="469">
        <v>81</v>
      </c>
      <c r="F28" s="469">
        <v>0.66649999999999998</v>
      </c>
      <c r="G28" s="469">
        <v>5.54</v>
      </c>
    </row>
    <row r="29" spans="1:7">
      <c r="A29" s="469">
        <v>37</v>
      </c>
      <c r="B29" s="469">
        <v>0.84</v>
      </c>
      <c r="C29" s="469">
        <v>6.99</v>
      </c>
      <c r="E29" s="469">
        <v>82</v>
      </c>
      <c r="F29" s="469">
        <v>0.66339999999999999</v>
      </c>
      <c r="G29" s="469">
        <v>5.52</v>
      </c>
    </row>
    <row r="30" spans="1:7">
      <c r="A30" s="469">
        <v>38</v>
      </c>
      <c r="B30" s="469">
        <v>0.83499999999999996</v>
      </c>
      <c r="C30" s="469">
        <v>6.95</v>
      </c>
      <c r="E30" s="469">
        <v>83</v>
      </c>
      <c r="F30" s="469">
        <v>0.6603</v>
      </c>
      <c r="G30" s="469">
        <v>5.49</v>
      </c>
    </row>
    <row r="31" spans="1:7">
      <c r="A31" s="469">
        <v>39</v>
      </c>
      <c r="B31" s="469">
        <v>0.83</v>
      </c>
      <c r="C31" s="469">
        <v>6.91</v>
      </c>
      <c r="E31" s="469">
        <v>84</v>
      </c>
      <c r="F31" s="469">
        <v>0.65720000000000001</v>
      </c>
      <c r="G31" s="469">
        <v>5.47</v>
      </c>
    </row>
    <row r="32" spans="1:7">
      <c r="A32" s="469">
        <v>40</v>
      </c>
      <c r="B32" s="469">
        <v>0.82500000000000007</v>
      </c>
      <c r="C32" s="469">
        <v>6.87</v>
      </c>
      <c r="E32" s="469">
        <v>85</v>
      </c>
      <c r="F32" s="469">
        <v>0.65410000000000001</v>
      </c>
      <c r="G32" s="469">
        <v>5.44</v>
      </c>
    </row>
    <row r="33" spans="1:7">
      <c r="A33" s="469">
        <v>41</v>
      </c>
      <c r="B33" s="469">
        <v>0.82</v>
      </c>
      <c r="C33" s="469">
        <v>6.83</v>
      </c>
      <c r="E33" s="469">
        <v>86</v>
      </c>
      <c r="F33" s="469">
        <v>0.65110000000000001</v>
      </c>
      <c r="G33" s="469">
        <v>5.42</v>
      </c>
    </row>
    <row r="34" spans="1:7">
      <c r="A34" s="469">
        <v>42</v>
      </c>
      <c r="B34" s="469">
        <v>0.81600000000000006</v>
      </c>
      <c r="C34" s="469">
        <v>6.79</v>
      </c>
      <c r="E34" s="469">
        <v>87</v>
      </c>
      <c r="F34" s="469">
        <v>0.64810000000000001</v>
      </c>
      <c r="G34" s="469">
        <v>5.39</v>
      </c>
    </row>
    <row r="35" spans="1:7">
      <c r="A35" s="469">
        <v>43</v>
      </c>
      <c r="B35" s="469">
        <v>0.81100000000000005</v>
      </c>
      <c r="C35" s="469">
        <v>6.75</v>
      </c>
      <c r="E35" s="469">
        <v>88</v>
      </c>
      <c r="F35" s="469">
        <v>0.6452</v>
      </c>
      <c r="G35" s="469">
        <v>5.37</v>
      </c>
    </row>
    <row r="36" spans="1:7">
      <c r="A36" s="469">
        <v>44</v>
      </c>
      <c r="B36" s="469">
        <v>0.80600000000000005</v>
      </c>
      <c r="C36" s="469">
        <v>6.71</v>
      </c>
      <c r="E36" s="469">
        <v>89</v>
      </c>
      <c r="F36" s="469">
        <v>0.64219999999999999</v>
      </c>
      <c r="G36" s="469">
        <v>5.34</v>
      </c>
    </row>
    <row r="37" spans="1:7">
      <c r="A37" s="469">
        <v>45</v>
      </c>
      <c r="B37" s="469">
        <v>0.80200000000000005</v>
      </c>
      <c r="C37" s="469">
        <v>6.68</v>
      </c>
      <c r="E37" s="469">
        <v>90</v>
      </c>
      <c r="F37" s="469">
        <v>0.63929999999999998</v>
      </c>
      <c r="G37" s="469">
        <v>5.32</v>
      </c>
    </row>
    <row r="38" spans="1:7">
      <c r="A38" s="469">
        <v>46</v>
      </c>
      <c r="B38" s="469">
        <v>0.79700000000000004</v>
      </c>
      <c r="C38" s="469">
        <v>6.64</v>
      </c>
      <c r="E38" s="469">
        <v>91</v>
      </c>
      <c r="F38" s="469">
        <v>0.63600000000000001</v>
      </c>
      <c r="G38" s="469">
        <v>5.29</v>
      </c>
    </row>
    <row r="39" spans="1:7">
      <c r="A39" s="469">
        <v>47</v>
      </c>
      <c r="B39" s="469">
        <v>0.79300000000000004</v>
      </c>
      <c r="C39" s="469">
        <v>6.6</v>
      </c>
      <c r="E39" s="469">
        <v>92</v>
      </c>
      <c r="F39" s="469">
        <v>0.63300000000000001</v>
      </c>
      <c r="G39" s="469">
        <v>5.27</v>
      </c>
    </row>
    <row r="40" spans="1:7">
      <c r="A40" s="469">
        <v>48</v>
      </c>
      <c r="B40" s="469">
        <v>0.78800000000000003</v>
      </c>
      <c r="C40" s="469">
        <v>6.56</v>
      </c>
      <c r="E40" s="469">
        <v>93</v>
      </c>
      <c r="F40" s="469">
        <v>0.63</v>
      </c>
      <c r="G40" s="469">
        <v>5.25</v>
      </c>
    </row>
    <row r="41" spans="1:7">
      <c r="A41" s="469">
        <v>49</v>
      </c>
      <c r="B41" s="469">
        <v>0.78400000000000003</v>
      </c>
      <c r="C41" s="469">
        <v>6.53</v>
      </c>
      <c r="E41" s="469">
        <v>94</v>
      </c>
      <c r="F41" s="469">
        <v>0.628</v>
      </c>
      <c r="G41" s="469">
        <v>5.22</v>
      </c>
    </row>
    <row r="42" spans="1:7">
      <c r="A42" s="469">
        <v>50</v>
      </c>
      <c r="B42" s="469">
        <v>0.78</v>
      </c>
      <c r="C42" s="469">
        <v>6.49</v>
      </c>
      <c r="E42" s="469">
        <v>95</v>
      </c>
      <c r="F42" s="469">
        <v>0.625</v>
      </c>
      <c r="G42" s="469">
        <v>5.2</v>
      </c>
    </row>
    <row r="43" spans="1:7">
      <c r="A43" s="469">
        <v>51</v>
      </c>
      <c r="B43" s="469">
        <v>0.77500000000000002</v>
      </c>
      <c r="C43" s="469">
        <v>6.46</v>
      </c>
      <c r="E43" s="469">
        <v>96</v>
      </c>
      <c r="F43" s="469">
        <v>0.622</v>
      </c>
      <c r="G43" s="469">
        <v>5.18</v>
      </c>
    </row>
    <row r="44" spans="1:7">
      <c r="A44" s="469">
        <v>52</v>
      </c>
      <c r="B44" s="469">
        <v>0.7712</v>
      </c>
      <c r="C44" s="469">
        <v>6.42</v>
      </c>
      <c r="E44" s="469">
        <v>97</v>
      </c>
      <c r="F44" s="469">
        <v>0.61899999999999999</v>
      </c>
      <c r="G44" s="469">
        <v>5.15</v>
      </c>
    </row>
    <row r="45" spans="1:7">
      <c r="A45" s="469">
        <v>53</v>
      </c>
      <c r="B45" s="469">
        <v>0.76700000000000002</v>
      </c>
      <c r="C45" s="469">
        <v>6.39</v>
      </c>
      <c r="E45" s="469">
        <v>98</v>
      </c>
      <c r="F45" s="469">
        <v>0.61699999999999999</v>
      </c>
      <c r="G45" s="469">
        <v>5.13</v>
      </c>
    </row>
    <row r="46" spans="1:7">
      <c r="A46" s="469">
        <v>54</v>
      </c>
      <c r="B46" s="469">
        <v>0.76370000000000005</v>
      </c>
      <c r="C46" s="469">
        <v>6.35</v>
      </c>
      <c r="E46" s="469">
        <v>99</v>
      </c>
      <c r="F46" s="469">
        <v>0.61399999999999999</v>
      </c>
      <c r="G46" s="469">
        <v>5.1100000000000003</v>
      </c>
    </row>
    <row r="47" spans="1:7">
      <c r="E47" s="469">
        <v>100</v>
      </c>
      <c r="F47" s="469">
        <v>0.61099999999999999</v>
      </c>
      <c r="G47" s="469">
        <v>5.09</v>
      </c>
    </row>
  </sheetData>
  <sheetProtection algorithmName="SHA-512" hashValue="nlBrZpBKtZTKY5VI6KqA2eb94xJa54Gctt4cnWQzQVBhsFZaUwjyrMLrjqrsFgHGZHsxrsv/U9hWK59pMIVeNA==" saltValue="EIKlEpcr2S6d1sxVAvKkrA==" spinCount="100000" sheet="1" objects="1" scenarios="1" selectLockedCells="1" selectUnlockedCells="1"/>
  <pageMargins left="0.78749999999999998" right="0.78749999999999998" top="0.78749999999999998" bottom="0.78749999999999998" header="0.51180555555555596" footer="0.51180555555555596"/>
  <pageSetup firstPageNumber="0" orientation="portrait" horizontalDpi="300" verticalDpi="300"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7030A0"/>
    <pageSetUpPr fitToPage="1"/>
  </sheetPr>
  <dimension ref="A1:A32"/>
  <sheetViews>
    <sheetView workbookViewId="0">
      <selection activeCell="H34" sqref="H34"/>
    </sheetView>
  </sheetViews>
  <sheetFormatPr defaultColWidth="11.5703125" defaultRowHeight="12.75"/>
  <sheetData>
    <row r="1" spans="1:1" ht="15.75">
      <c r="A1" s="237" t="s">
        <v>499</v>
      </c>
    </row>
    <row r="2" spans="1:1" ht="15">
      <c r="A2" s="216"/>
    </row>
    <row r="3" spans="1:1" ht="15">
      <c r="A3" s="217"/>
    </row>
    <row r="4" spans="1:1" ht="15">
      <c r="A4" s="217" t="s">
        <v>500</v>
      </c>
    </row>
    <row r="5" spans="1:1" ht="15">
      <c r="A5" s="217" t="s">
        <v>501</v>
      </c>
    </row>
    <row r="6" spans="1:1" ht="15">
      <c r="A6" s="217" t="s">
        <v>502</v>
      </c>
    </row>
    <row r="7" spans="1:1" ht="15">
      <c r="A7" s="217" t="s">
        <v>503</v>
      </c>
    </row>
    <row r="8" spans="1:1" ht="15">
      <c r="A8" s="217" t="s">
        <v>504</v>
      </c>
    </row>
    <row r="9" spans="1:1" ht="15">
      <c r="A9" s="217" t="s">
        <v>505</v>
      </c>
    </row>
    <row r="10" spans="1:1" ht="15">
      <c r="A10" s="217" t="s">
        <v>506</v>
      </c>
    </row>
    <row r="11" spans="1:1" ht="15">
      <c r="A11" s="217" t="s">
        <v>507</v>
      </c>
    </row>
    <row r="12" spans="1:1" ht="15">
      <c r="A12" s="217" t="s">
        <v>508</v>
      </c>
    </row>
    <row r="13" spans="1:1" ht="15">
      <c r="A13" s="217" t="s">
        <v>509</v>
      </c>
    </row>
    <row r="14" spans="1:1" ht="15">
      <c r="A14" s="217" t="s">
        <v>510</v>
      </c>
    </row>
    <row r="15" spans="1:1" ht="15">
      <c r="A15" s="217" t="s">
        <v>511</v>
      </c>
    </row>
    <row r="16" spans="1:1" ht="15">
      <c r="A16" s="217" t="s">
        <v>512</v>
      </c>
    </row>
    <row r="17" spans="1:1" ht="15">
      <c r="A17" s="217" t="s">
        <v>513</v>
      </c>
    </row>
    <row r="18" spans="1:1" ht="15">
      <c r="A18" s="217" t="s">
        <v>514</v>
      </c>
    </row>
    <row r="19" spans="1:1" ht="15">
      <c r="A19" s="217" t="s">
        <v>515</v>
      </c>
    </row>
    <row r="20" spans="1:1" ht="15">
      <c r="A20" s="217" t="s">
        <v>516</v>
      </c>
    </row>
    <row r="21" spans="1:1" ht="15">
      <c r="A21" s="217" t="s">
        <v>517</v>
      </c>
    </row>
    <row r="22" spans="1:1" ht="15">
      <c r="A22" s="217" t="s">
        <v>518</v>
      </c>
    </row>
    <row r="23" spans="1:1" ht="15">
      <c r="A23" s="217" t="s">
        <v>519</v>
      </c>
    </row>
    <row r="24" spans="1:1" ht="15">
      <c r="A24" s="217" t="s">
        <v>520</v>
      </c>
    </row>
    <row r="25" spans="1:1" ht="15">
      <c r="A25" s="217" t="s">
        <v>521</v>
      </c>
    </row>
    <row r="26" spans="1:1" ht="15">
      <c r="A26" s="217" t="s">
        <v>522</v>
      </c>
    </row>
    <row r="27" spans="1:1" ht="15">
      <c r="A27" s="217"/>
    </row>
    <row r="28" spans="1:1">
      <c r="A28" s="379" t="s">
        <v>666</v>
      </c>
    </row>
    <row r="29" spans="1:1">
      <c r="A29" s="380" t="s">
        <v>762</v>
      </c>
    </row>
    <row r="30" spans="1:1">
      <c r="A30" s="215" t="s">
        <v>763</v>
      </c>
    </row>
    <row r="31" spans="1:1">
      <c r="A31" s="379" t="s">
        <v>766</v>
      </c>
    </row>
    <row r="32" spans="1:1">
      <c r="A32" s="379" t="s">
        <v>3</v>
      </c>
    </row>
  </sheetData>
  <sheetProtection algorithmName="SHA-512" hashValue="aOHx6gnW5wnPi8sf4uXCVP//xrnfaLR05eCv2LhwQQGeH2TuckZSzyCi1+j3w/siSmN+/A+MF0zDLoWjsPq/Ug==" saltValue="rYcbFwtDnxRYrxcRcJ+X4w==" spinCount="100000" sheet="1" objects="1" scenarios="1" selectLockedCells="1" selectUnlockedCells="1"/>
  <hyperlinks>
    <hyperlink ref="A29" r:id="rId1" display="wyomingelectrician@gmail.com" xr:uid="{00000000-0004-0000-2D00-000000000000}"/>
  </hyperlinks>
  <pageMargins left="0.78749999999999998" right="0.78749999999999998" top="0.78749999999999998" bottom="0.78749999999999998" header="0.51180555555555551" footer="0.51180555555555551"/>
  <pageSetup scale="97" firstPageNumber="0" orientation="landscape" horizontalDpi="300" verticalDpi="300" r:id="rId2"/>
  <headerFooter alignWithMargins="0"/>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7030A0"/>
  </sheetPr>
  <dimension ref="A1:K94"/>
  <sheetViews>
    <sheetView zoomScale="70" zoomScaleNormal="70" workbookViewId="0">
      <selection activeCell="O1" sqref="O1"/>
    </sheetView>
  </sheetViews>
  <sheetFormatPr defaultColWidth="10.42578125" defaultRowHeight="15"/>
  <cols>
    <col min="1" max="1" width="10.42578125" style="250"/>
    <col min="2" max="2" width="35" style="250" customWidth="1"/>
    <col min="3" max="3" width="10.42578125" style="250"/>
    <col min="4" max="4" width="12.140625" style="250" customWidth="1"/>
    <col min="5" max="5" width="11" style="250" bestFit="1" customWidth="1"/>
    <col min="6" max="7" width="10.42578125" style="250"/>
    <col min="8" max="8" width="10.42578125" style="818"/>
    <col min="9" max="9" width="5.42578125" style="250" customWidth="1"/>
    <col min="10" max="10" width="22" style="250" bestFit="1" customWidth="1"/>
    <col min="11" max="11" width="10.42578125" style="250" hidden="1" customWidth="1"/>
    <col min="12" max="16384" width="10.42578125" style="250"/>
  </cols>
  <sheetData>
    <row r="1" spans="1:10" s="817" customFormat="1" ht="18.75">
      <c r="A1" s="817">
        <v>1</v>
      </c>
      <c r="B1" s="817" t="s">
        <v>832</v>
      </c>
      <c r="H1" s="818"/>
      <c r="J1" s="250" t="s">
        <v>1044</v>
      </c>
    </row>
    <row r="3" spans="1:10">
      <c r="C3" s="250" t="s">
        <v>35</v>
      </c>
      <c r="D3" s="250" t="s">
        <v>35</v>
      </c>
      <c r="E3" s="250" t="s">
        <v>35</v>
      </c>
    </row>
    <row r="4" spans="1:10" ht="12.75">
      <c r="B4" s="250" t="s">
        <v>794</v>
      </c>
      <c r="C4" s="591">
        <v>2700</v>
      </c>
      <c r="D4" s="477" t="s">
        <v>388</v>
      </c>
      <c r="E4" s="592">
        <v>3</v>
      </c>
      <c r="F4" s="477" t="s">
        <v>109</v>
      </c>
      <c r="G4" s="250">
        <f>C4*E4</f>
        <v>8100</v>
      </c>
      <c r="H4" s="250" t="s">
        <v>792</v>
      </c>
      <c r="I4" s="250" t="s">
        <v>35</v>
      </c>
      <c r="J4" s="819" t="s">
        <v>833</v>
      </c>
    </row>
    <row r="5" spans="1:10" ht="12.75">
      <c r="B5" s="250" t="s">
        <v>796</v>
      </c>
      <c r="C5" s="250">
        <v>1500</v>
      </c>
      <c r="D5" s="477" t="s">
        <v>388</v>
      </c>
      <c r="E5" s="592">
        <v>2</v>
      </c>
      <c r="F5" s="477" t="s">
        <v>109</v>
      </c>
      <c r="G5" s="250">
        <f>C5*E5</f>
        <v>3000</v>
      </c>
      <c r="H5" s="250" t="s">
        <v>792</v>
      </c>
      <c r="J5" s="819" t="s">
        <v>834</v>
      </c>
    </row>
    <row r="6" spans="1:10" ht="13.5" thickBot="1">
      <c r="B6" s="250" t="s">
        <v>798</v>
      </c>
      <c r="C6" s="820">
        <v>1500</v>
      </c>
      <c r="D6" s="477" t="s">
        <v>388</v>
      </c>
      <c r="E6" s="592">
        <v>1</v>
      </c>
      <c r="F6" s="477" t="s">
        <v>109</v>
      </c>
      <c r="G6" s="821">
        <f>C6*E6</f>
        <v>1500</v>
      </c>
      <c r="H6" s="250" t="s">
        <v>792</v>
      </c>
      <c r="J6" s="819" t="s">
        <v>835</v>
      </c>
    </row>
    <row r="7" spans="1:10">
      <c r="B7" s="385" t="s">
        <v>836</v>
      </c>
      <c r="F7" s="184"/>
      <c r="G7" s="385">
        <f>SUM(G4:G6)</f>
        <v>12600</v>
      </c>
      <c r="H7" s="385" t="s">
        <v>792</v>
      </c>
      <c r="J7" s="819"/>
    </row>
    <row r="8" spans="1:10" ht="12.75">
      <c r="F8" s="184"/>
      <c r="H8" s="250"/>
      <c r="J8" s="819"/>
    </row>
    <row r="9" spans="1:10" ht="12.75">
      <c r="B9" s="250" t="s">
        <v>837</v>
      </c>
      <c r="C9" s="250">
        <v>3000</v>
      </c>
      <c r="D9" s="477" t="s">
        <v>388</v>
      </c>
      <c r="E9" s="822">
        <v>1</v>
      </c>
      <c r="F9" s="477" t="s">
        <v>109</v>
      </c>
      <c r="G9" s="250">
        <f>C9*E9</f>
        <v>3000</v>
      </c>
      <c r="H9" s="250" t="s">
        <v>792</v>
      </c>
      <c r="J9" s="819" t="s">
        <v>838</v>
      </c>
    </row>
    <row r="10" spans="1:10" ht="12.75">
      <c r="B10" s="250" t="s">
        <v>839</v>
      </c>
      <c r="C10" s="250">
        <f>IF(G7&gt;120000,117000,(G7-C9))</f>
        <v>9600</v>
      </c>
      <c r="D10" s="477" t="s">
        <v>388</v>
      </c>
      <c r="E10" s="822">
        <v>0.35</v>
      </c>
      <c r="F10" s="477" t="s">
        <v>109</v>
      </c>
      <c r="G10" s="250">
        <f t="shared" ref="G10:G11" si="0">C10*E10</f>
        <v>3360</v>
      </c>
      <c r="H10" s="250" t="s">
        <v>792</v>
      </c>
      <c r="J10" s="819" t="s">
        <v>840</v>
      </c>
    </row>
    <row r="11" spans="1:10" ht="13.5" thickBot="1">
      <c r="B11" s="250" t="s">
        <v>841</v>
      </c>
      <c r="C11" s="250">
        <f>IF(G7&gt;120000,(G7-C9-C10),0)</f>
        <v>0</v>
      </c>
      <c r="D11" s="477" t="s">
        <v>388</v>
      </c>
      <c r="E11" s="822">
        <v>0.25</v>
      </c>
      <c r="F11" s="477" t="s">
        <v>109</v>
      </c>
      <c r="G11" s="821">
        <f t="shared" si="0"/>
        <v>0</v>
      </c>
      <c r="H11" s="250" t="s">
        <v>792</v>
      </c>
      <c r="J11" s="819" t="s">
        <v>842</v>
      </c>
    </row>
    <row r="12" spans="1:10" s="385" customFormat="1">
      <c r="B12" s="823" t="s">
        <v>843</v>
      </c>
      <c r="C12" s="823"/>
      <c r="D12" s="823"/>
      <c r="E12" s="823"/>
      <c r="F12" s="824" t="s">
        <v>844</v>
      </c>
      <c r="G12" s="823">
        <f>SUM(G9:G11)</f>
        <v>6360</v>
      </c>
      <c r="H12" s="823" t="s">
        <v>792</v>
      </c>
      <c r="J12" s="250"/>
    </row>
    <row r="13" spans="1:10" s="184" customFormat="1">
      <c r="B13" s="612"/>
      <c r="C13" s="612"/>
      <c r="D13" s="612"/>
      <c r="E13" s="612"/>
      <c r="H13" s="825"/>
    </row>
    <row r="15" spans="1:10" s="817" customFormat="1" ht="18.75">
      <c r="A15" s="817">
        <v>2</v>
      </c>
      <c r="B15" s="817" t="s">
        <v>845</v>
      </c>
      <c r="J15" s="819" t="s">
        <v>846</v>
      </c>
    </row>
    <row r="16" spans="1:10">
      <c r="J16" s="819"/>
    </row>
    <row r="17" spans="1:11">
      <c r="B17" s="250" t="s">
        <v>847</v>
      </c>
      <c r="C17" s="591">
        <v>9000</v>
      </c>
      <c r="J17" s="819">
        <v>220.51</v>
      </c>
    </row>
    <row r="18" spans="1:11">
      <c r="J18" s="819"/>
    </row>
    <row r="19" spans="1:11">
      <c r="B19" s="250" t="s">
        <v>848</v>
      </c>
      <c r="C19" s="591">
        <f>230*28</f>
        <v>6440</v>
      </c>
      <c r="J19" s="819" t="s">
        <v>849</v>
      </c>
    </row>
    <row r="20" spans="1:11">
      <c r="C20" s="184"/>
      <c r="J20" s="819"/>
    </row>
    <row r="21" spans="1:11">
      <c r="B21" s="826" t="s">
        <v>850</v>
      </c>
      <c r="C21" s="184"/>
      <c r="J21" s="819"/>
    </row>
    <row r="22" spans="1:11">
      <c r="J22" s="819"/>
    </row>
    <row r="23" spans="1:11" s="385" customFormat="1">
      <c r="B23" s="823" t="s">
        <v>851</v>
      </c>
      <c r="C23" s="823">
        <f>MAX(C17,C19)</f>
        <v>9000</v>
      </c>
      <c r="D23" s="823" t="s">
        <v>792</v>
      </c>
      <c r="H23" s="818"/>
      <c r="J23" s="819"/>
    </row>
    <row r="24" spans="1:11">
      <c r="J24" s="819"/>
    </row>
    <row r="25" spans="1:11">
      <c r="J25" s="819"/>
    </row>
    <row r="26" spans="1:11" s="817" customFormat="1" ht="18.75">
      <c r="A26" s="817">
        <v>3</v>
      </c>
      <c r="B26" s="817" t="s">
        <v>852</v>
      </c>
      <c r="J26" s="819" t="s">
        <v>853</v>
      </c>
    </row>
    <row r="27" spans="1:11">
      <c r="J27" s="819"/>
    </row>
    <row r="28" spans="1:11">
      <c r="B28" s="250" t="s">
        <v>803</v>
      </c>
      <c r="C28" s="591">
        <v>940</v>
      </c>
      <c r="J28" s="819"/>
      <c r="K28" s="250">
        <f>COUNTIF(C28:C37,"&gt;.1")</f>
        <v>3</v>
      </c>
    </row>
    <row r="29" spans="1:11">
      <c r="B29" s="250" t="s">
        <v>804</v>
      </c>
      <c r="C29" s="591">
        <v>1250</v>
      </c>
      <c r="J29" s="819"/>
    </row>
    <row r="30" spans="1:11">
      <c r="B30" s="250" t="s">
        <v>805</v>
      </c>
      <c r="C30" s="591">
        <v>4500</v>
      </c>
      <c r="J30" s="819"/>
    </row>
    <row r="31" spans="1:11">
      <c r="B31" s="250" t="s">
        <v>806</v>
      </c>
      <c r="C31" s="591">
        <v>0</v>
      </c>
      <c r="J31" s="819"/>
    </row>
    <row r="32" spans="1:11">
      <c r="B32" s="250" t="s">
        <v>807</v>
      </c>
      <c r="C32" s="591">
        <v>0</v>
      </c>
      <c r="J32" s="819"/>
    </row>
    <row r="33" spans="1:10">
      <c r="B33" s="250" t="s">
        <v>808</v>
      </c>
      <c r="C33" s="591"/>
      <c r="J33" s="819"/>
    </row>
    <row r="34" spans="1:10">
      <c r="B34" s="250" t="s">
        <v>809</v>
      </c>
      <c r="C34" s="591"/>
      <c r="J34" s="819"/>
    </row>
    <row r="35" spans="1:10">
      <c r="B35" s="250" t="s">
        <v>810</v>
      </c>
      <c r="C35" s="591"/>
      <c r="J35" s="819"/>
    </row>
    <row r="36" spans="1:10">
      <c r="B36" s="250" t="s">
        <v>854</v>
      </c>
      <c r="C36" s="591"/>
      <c r="J36" s="819"/>
    </row>
    <row r="37" spans="1:10" ht="15.75" thickBot="1">
      <c r="B37" s="250" t="s">
        <v>855</v>
      </c>
      <c r="C37" s="593"/>
      <c r="J37" s="819"/>
    </row>
    <row r="38" spans="1:10">
      <c r="C38" s="385">
        <f>SUM(C28:C37)</f>
        <v>6690</v>
      </c>
      <c r="D38" s="826" t="s">
        <v>856</v>
      </c>
      <c r="E38" s="385"/>
      <c r="F38" s="385"/>
      <c r="G38" s="385"/>
      <c r="J38" s="819"/>
    </row>
    <row r="39" spans="1:10" ht="15.75" thickBot="1">
      <c r="C39" s="821">
        <v>0.75</v>
      </c>
      <c r="D39" s="827" t="s">
        <v>388</v>
      </c>
      <c r="E39" s="385"/>
      <c r="F39" s="385"/>
      <c r="G39" s="385"/>
      <c r="I39" s="385"/>
      <c r="J39" s="819"/>
    </row>
    <row r="40" spans="1:10">
      <c r="C40" s="828">
        <f>C38*C39</f>
        <v>5017.5</v>
      </c>
      <c r="D40" s="826" t="s">
        <v>857</v>
      </c>
      <c r="J40" s="819"/>
    </row>
    <row r="41" spans="1:10">
      <c r="J41" s="819"/>
    </row>
    <row r="42" spans="1:10" s="385" customFormat="1">
      <c r="B42" s="823" t="s">
        <v>858</v>
      </c>
      <c r="C42" s="829">
        <f>IF(K28&gt;3,C40,C38)</f>
        <v>6690</v>
      </c>
      <c r="D42" s="823" t="s">
        <v>792</v>
      </c>
      <c r="H42" s="818"/>
      <c r="J42" s="819"/>
    </row>
    <row r="43" spans="1:10">
      <c r="J43" s="819"/>
    </row>
    <row r="44" spans="1:10">
      <c r="J44" s="819"/>
    </row>
    <row r="45" spans="1:10" s="817" customFormat="1" ht="18.75">
      <c r="A45" s="817">
        <v>4</v>
      </c>
      <c r="B45" s="817" t="s">
        <v>859</v>
      </c>
      <c r="J45" s="819" t="s">
        <v>860</v>
      </c>
    </row>
    <row r="46" spans="1:10">
      <c r="J46" s="819"/>
    </row>
    <row r="47" spans="1:10">
      <c r="B47" s="250" t="s">
        <v>861</v>
      </c>
      <c r="C47" s="591">
        <v>4000</v>
      </c>
      <c r="J47" s="819"/>
    </row>
    <row r="48" spans="1:10">
      <c r="B48" s="250" t="s">
        <v>862</v>
      </c>
      <c r="C48" s="250">
        <v>5000</v>
      </c>
      <c r="J48" s="819"/>
    </row>
    <row r="49" spans="1:10">
      <c r="J49" s="819"/>
    </row>
    <row r="50" spans="1:10" s="826" customFormat="1">
      <c r="B50" s="826" t="s">
        <v>863</v>
      </c>
      <c r="J50" s="830"/>
    </row>
    <row r="51" spans="1:10" s="826" customFormat="1">
      <c r="B51" s="826" t="s">
        <v>864</v>
      </c>
      <c r="J51" s="830"/>
    </row>
    <row r="52" spans="1:10">
      <c r="J52" s="819"/>
    </row>
    <row r="53" spans="1:10">
      <c r="B53" s="831" t="s">
        <v>865</v>
      </c>
      <c r="C53" s="831">
        <f>MAX(C47:C48)</f>
        <v>5000</v>
      </c>
      <c r="D53" s="831" t="s">
        <v>792</v>
      </c>
      <c r="J53" s="819"/>
    </row>
    <row r="54" spans="1:10">
      <c r="J54" s="819"/>
    </row>
    <row r="55" spans="1:10">
      <c r="J55" s="819"/>
    </row>
    <row r="56" spans="1:10" s="817" customFormat="1" ht="18.75">
      <c r="A56" s="817">
        <v>5</v>
      </c>
      <c r="B56" s="817" t="s">
        <v>866</v>
      </c>
      <c r="J56" s="819" t="s">
        <v>867</v>
      </c>
    </row>
    <row r="57" spans="1:10">
      <c r="J57" s="819"/>
    </row>
    <row r="58" spans="1:10">
      <c r="C58" s="250" t="s">
        <v>868</v>
      </c>
      <c r="D58" s="250" t="s">
        <v>792</v>
      </c>
      <c r="E58" s="250" t="s">
        <v>869</v>
      </c>
      <c r="J58" s="819"/>
    </row>
    <row r="59" spans="1:10">
      <c r="B59" s="250" t="s">
        <v>870</v>
      </c>
      <c r="C59" s="591">
        <v>0</v>
      </c>
      <c r="D59" s="591">
        <v>3000</v>
      </c>
      <c r="E59" s="591">
        <v>0.75</v>
      </c>
      <c r="F59" s="250">
        <f>C59*D59*E59</f>
        <v>0</v>
      </c>
      <c r="G59" s="250" t="s">
        <v>792</v>
      </c>
      <c r="I59" s="818"/>
    </row>
    <row r="60" spans="1:10">
      <c r="B60" s="250" t="s">
        <v>871</v>
      </c>
      <c r="C60" s="591">
        <v>0</v>
      </c>
      <c r="D60" s="591">
        <v>6000</v>
      </c>
      <c r="E60" s="591">
        <v>0.8</v>
      </c>
      <c r="F60" s="250">
        <f>C60*D60*E60</f>
        <v>0</v>
      </c>
      <c r="G60" s="250" t="s">
        <v>792</v>
      </c>
      <c r="I60" s="818"/>
    </row>
    <row r="61" spans="1:10" ht="15.75" thickBot="1">
      <c r="B61" s="250" t="s">
        <v>872</v>
      </c>
      <c r="D61" s="332"/>
      <c r="F61" s="593">
        <v>8800</v>
      </c>
      <c r="G61" s="250" t="s">
        <v>792</v>
      </c>
      <c r="I61" s="818"/>
    </row>
    <row r="62" spans="1:10" s="385" customFormat="1">
      <c r="B62" s="823" t="s">
        <v>873</v>
      </c>
      <c r="C62" s="823"/>
      <c r="D62" s="823"/>
      <c r="E62" s="823"/>
      <c r="F62" s="823">
        <f>SUM(F59:F61)</f>
        <v>8800</v>
      </c>
      <c r="G62" s="823" t="s">
        <v>792</v>
      </c>
      <c r="H62" s="818"/>
      <c r="I62" s="818"/>
      <c r="J62" s="250"/>
    </row>
    <row r="63" spans="1:10">
      <c r="J63" s="819"/>
    </row>
    <row r="64" spans="1:10">
      <c r="J64" s="819"/>
    </row>
    <row r="65" spans="1:10" s="817" customFormat="1" ht="18.75">
      <c r="A65" s="817">
        <v>6</v>
      </c>
      <c r="B65" s="817" t="s">
        <v>811</v>
      </c>
      <c r="J65" s="819" t="s">
        <v>874</v>
      </c>
    </row>
    <row r="66" spans="1:10" s="385" customFormat="1">
      <c r="J66" s="819"/>
    </row>
    <row r="67" spans="1:10" ht="12.75">
      <c r="B67" s="250" t="s">
        <v>875</v>
      </c>
      <c r="C67" s="591">
        <v>0</v>
      </c>
      <c r="D67" s="250" t="s">
        <v>876</v>
      </c>
      <c r="E67" s="250">
        <f>C67*1.25</f>
        <v>0</v>
      </c>
      <c r="F67" s="250" t="s">
        <v>792</v>
      </c>
      <c r="H67" s="250"/>
      <c r="J67" s="819"/>
    </row>
    <row r="68" spans="1:10" ht="13.5" thickBot="1">
      <c r="B68" s="250" t="s">
        <v>877</v>
      </c>
      <c r="C68" s="591">
        <v>0</v>
      </c>
      <c r="D68" s="250" t="s">
        <v>878</v>
      </c>
      <c r="E68" s="821">
        <f>C68*1</f>
        <v>0</v>
      </c>
      <c r="F68" s="250" t="s">
        <v>792</v>
      </c>
      <c r="H68" s="819"/>
      <c r="J68" s="819"/>
    </row>
    <row r="69" spans="1:10" s="385" customFormat="1">
      <c r="B69" s="823" t="s">
        <v>879</v>
      </c>
      <c r="C69" s="823"/>
      <c r="D69" s="823"/>
      <c r="E69" s="823">
        <f>SUM(E67:E68)</f>
        <v>0</v>
      </c>
      <c r="F69" s="823" t="s">
        <v>792</v>
      </c>
      <c r="H69" s="818"/>
      <c r="J69" s="819"/>
    </row>
    <row r="70" spans="1:10">
      <c r="J70" s="819"/>
    </row>
    <row r="71" spans="1:10">
      <c r="J71" s="819"/>
    </row>
    <row r="72" spans="1:10" s="817" customFormat="1" ht="18.75">
      <c r="A72" s="817">
        <v>7</v>
      </c>
      <c r="B72" s="817" t="s">
        <v>880</v>
      </c>
      <c r="C72" s="832"/>
      <c r="J72" s="819"/>
    </row>
    <row r="73" spans="1:10" s="385" customFormat="1">
      <c r="C73" s="612"/>
      <c r="J73" s="819"/>
    </row>
    <row r="74" spans="1:10" ht="12.75">
      <c r="B74" s="250" t="s">
        <v>881</v>
      </c>
      <c r="C74" s="591">
        <v>0</v>
      </c>
      <c r="D74" s="250" t="s">
        <v>792</v>
      </c>
      <c r="H74" s="250"/>
      <c r="J74" s="819"/>
    </row>
    <row r="75" spans="1:10" ht="13.5" thickBot="1">
      <c r="B75" s="250" t="s">
        <v>882</v>
      </c>
      <c r="C75" s="593">
        <v>0</v>
      </c>
      <c r="D75" s="250" t="s">
        <v>792</v>
      </c>
      <c r="H75" s="250"/>
      <c r="J75" s="819"/>
    </row>
    <row r="76" spans="1:10" s="385" customFormat="1">
      <c r="B76" s="823"/>
      <c r="C76" s="823">
        <f>SUM(C74:C75)</f>
        <v>0</v>
      </c>
      <c r="D76" s="823" t="s">
        <v>792</v>
      </c>
      <c r="H76" s="818"/>
      <c r="J76" s="819"/>
    </row>
    <row r="77" spans="1:10" s="184" customFormat="1" ht="12.75">
      <c r="J77" s="833"/>
    </row>
    <row r="78" spans="1:10" s="184" customFormat="1" ht="12.75">
      <c r="J78" s="833"/>
    </row>
    <row r="79" spans="1:10" s="817" customFormat="1" ht="18.75">
      <c r="A79" s="817">
        <v>8</v>
      </c>
      <c r="B79" s="817" t="s">
        <v>883</v>
      </c>
      <c r="J79" s="819"/>
    </row>
    <row r="80" spans="1:10">
      <c r="J80" s="819"/>
    </row>
    <row r="81" spans="1:10">
      <c r="B81" s="250" t="s">
        <v>843</v>
      </c>
      <c r="C81" s="250">
        <f>G12</f>
        <v>6360</v>
      </c>
      <c r="D81" s="385" t="str">
        <f>B1</f>
        <v>General Lighting and Receptacles, Small Appliances, and Laundry</v>
      </c>
      <c r="J81" s="819"/>
    </row>
    <row r="82" spans="1:10">
      <c r="B82" s="250" t="s">
        <v>851</v>
      </c>
      <c r="C82" s="250">
        <f>C23</f>
        <v>9000</v>
      </c>
      <c r="D82" s="385" t="str">
        <f>B15</f>
        <v>Air Conditioning or Heat</v>
      </c>
      <c r="J82" s="819"/>
    </row>
    <row r="83" spans="1:10">
      <c r="B83" s="250" t="s">
        <v>858</v>
      </c>
      <c r="C83" s="734">
        <f>C42</f>
        <v>6690</v>
      </c>
      <c r="D83" s="385" t="str">
        <f>B26</f>
        <v>Appliances</v>
      </c>
      <c r="J83" s="819"/>
    </row>
    <row r="84" spans="1:10">
      <c r="B84" s="250" t="s">
        <v>865</v>
      </c>
      <c r="C84" s="250">
        <f>C53</f>
        <v>5000</v>
      </c>
      <c r="D84" s="385" t="str">
        <f>B45</f>
        <v>Clothes Dryer</v>
      </c>
      <c r="J84" s="819"/>
    </row>
    <row r="85" spans="1:10">
      <c r="B85" s="250" t="s">
        <v>873</v>
      </c>
      <c r="C85" s="820">
        <f>F62</f>
        <v>8800</v>
      </c>
      <c r="D85" s="385" t="str">
        <f>B56</f>
        <v>Cooking Equipment</v>
      </c>
      <c r="J85" s="819"/>
    </row>
    <row r="86" spans="1:10">
      <c r="B86" s="250" t="s">
        <v>879</v>
      </c>
      <c r="C86" s="820">
        <f>E69</f>
        <v>0</v>
      </c>
      <c r="D86" s="385" t="str">
        <f>B65</f>
        <v>Motors</v>
      </c>
      <c r="J86" s="819"/>
    </row>
    <row r="87" spans="1:10" ht="15.75" thickBot="1">
      <c r="B87" s="250" t="s">
        <v>884</v>
      </c>
      <c r="C87" s="821">
        <f>C76</f>
        <v>0</v>
      </c>
      <c r="D87" s="385" t="str">
        <f>B72</f>
        <v>Other Loads</v>
      </c>
      <c r="J87" s="819"/>
    </row>
    <row r="88" spans="1:10" s="385" customFormat="1">
      <c r="C88" s="828">
        <f>SUM(C81:C87)</f>
        <v>35850</v>
      </c>
      <c r="D88" s="385" t="s">
        <v>831</v>
      </c>
      <c r="E88" s="829">
        <f>C88/240</f>
        <v>149.375</v>
      </c>
      <c r="F88" s="823" t="s">
        <v>74</v>
      </c>
      <c r="H88" s="818"/>
      <c r="J88" s="819"/>
    </row>
    <row r="89" spans="1:10">
      <c r="C89" s="250" t="s">
        <v>35</v>
      </c>
      <c r="D89" s="250" t="s">
        <v>35</v>
      </c>
    </row>
    <row r="90" spans="1:10">
      <c r="A90" s="834" t="s">
        <v>666</v>
      </c>
    </row>
    <row r="91" spans="1:10">
      <c r="A91" s="293" t="s">
        <v>762</v>
      </c>
    </row>
    <row r="92" spans="1:10">
      <c r="A92" s="293" t="s">
        <v>763</v>
      </c>
    </row>
    <row r="93" spans="1:10">
      <c r="A93" s="834" t="s">
        <v>788</v>
      </c>
    </row>
    <row r="94" spans="1:10">
      <c r="A94" s="834" t="s">
        <v>3</v>
      </c>
    </row>
  </sheetData>
  <sheetProtection algorithmName="SHA-512" hashValue="x2awftrsX3O12d6037SRSiv604hmFUbhkyUMh1gCEW6zvc5yBU7rmSckX8AVtM6WcLBPce8K52/YQYSiZ5xIuw==" saltValue="e8TwdM1MKQmnYhjrfcicYA==" spinCount="100000" sheet="1" objects="1" scenarios="1"/>
  <pageMargins left="0.7" right="0.7" top="0.75" bottom="0.75" header="0.3" footer="0.3"/>
  <pageSetup scale="77" fitToHeight="3" orientation="landscape" horizontalDpi="1200" verticalDpi="1200" r:id="rId1"/>
  <rowBreaks count="2" manualBreakCount="2">
    <brk id="42" max="16383" man="1"/>
    <brk id="77"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IH55"/>
  <sheetViews>
    <sheetView workbookViewId="0">
      <selection activeCell="J22" sqref="J22"/>
    </sheetView>
  </sheetViews>
  <sheetFormatPr defaultColWidth="11.5703125" defaultRowHeight="12.75"/>
  <cols>
    <col min="1" max="3" width="21.5703125" style="292" customWidth="1"/>
    <col min="4" max="4" width="8.140625" style="292" hidden="1" customWidth="1"/>
    <col min="5" max="6" width="13" style="292" hidden="1" customWidth="1"/>
    <col min="7" max="7" width="4.28515625" style="292" hidden="1" customWidth="1"/>
    <col min="8" max="8" width="24.140625" style="292" hidden="1" customWidth="1"/>
    <col min="9" max="242" width="17.28515625" style="292" customWidth="1"/>
    <col min="243" max="16384" width="11.5703125" style="293"/>
  </cols>
  <sheetData>
    <row r="1" spans="1:242" ht="12.75" customHeight="1">
      <c r="A1" s="290" t="s">
        <v>61</v>
      </c>
      <c r="B1" s="291"/>
      <c r="C1" s="843">
        <v>42676</v>
      </c>
      <c r="D1" s="291"/>
    </row>
    <row r="2" spans="1:242" ht="12.75" customHeight="1">
      <c r="A2" s="294"/>
      <c r="C2" s="253"/>
      <c r="D2" s="253"/>
      <c r="IH2" s="293"/>
    </row>
    <row r="3" spans="1:242" ht="12.75" customHeight="1">
      <c r="A3" s="295">
        <v>470</v>
      </c>
      <c r="B3" s="296" t="s">
        <v>29</v>
      </c>
      <c r="C3" s="253"/>
      <c r="D3" s="253"/>
      <c r="E3" s="297" t="s">
        <v>4</v>
      </c>
      <c r="F3" s="297" t="s">
        <v>5</v>
      </c>
      <c r="G3" s="292" t="str">
        <f>A6</f>
        <v>1/O AWG</v>
      </c>
      <c r="H3" s="293"/>
      <c r="IH3" s="293"/>
    </row>
    <row r="4" spans="1:242" ht="12.75" customHeight="1">
      <c r="A4" s="295">
        <v>60</v>
      </c>
      <c r="B4" s="296" t="s">
        <v>62</v>
      </c>
      <c r="C4" s="253"/>
      <c r="D4" s="253"/>
      <c r="E4" s="298" t="s">
        <v>673</v>
      </c>
      <c r="F4" s="298">
        <v>1620</v>
      </c>
      <c r="IH4" s="293"/>
    </row>
    <row r="5" spans="1:242" ht="12.75" customHeight="1">
      <c r="A5" s="295">
        <v>2500</v>
      </c>
      <c r="B5" s="296" t="s">
        <v>63</v>
      </c>
      <c r="C5" s="253"/>
      <c r="D5" s="254"/>
      <c r="E5" s="298" t="s">
        <v>674</v>
      </c>
      <c r="F5" s="298">
        <v>2580</v>
      </c>
      <c r="IH5" s="293"/>
    </row>
    <row r="6" spans="1:242" ht="12.75" customHeight="1">
      <c r="A6" s="299" t="s">
        <v>702</v>
      </c>
      <c r="B6" s="296" t="s">
        <v>699</v>
      </c>
      <c r="C6" s="253"/>
      <c r="D6" s="253"/>
      <c r="E6" s="298" t="s">
        <v>675</v>
      </c>
      <c r="F6" s="298">
        <v>4110</v>
      </c>
      <c r="IH6" s="293"/>
    </row>
    <row r="7" spans="1:242" ht="12.75" customHeight="1">
      <c r="A7" s="300">
        <f>VLOOKUP(G3,E4:F33,2,FALSE)</f>
        <v>105600</v>
      </c>
      <c r="B7" s="296" t="s">
        <v>42</v>
      </c>
      <c r="C7" s="253"/>
      <c r="D7" s="253"/>
      <c r="E7" s="298" t="s">
        <v>676</v>
      </c>
      <c r="F7" s="298">
        <v>6530</v>
      </c>
      <c r="IH7" s="293"/>
    </row>
    <row r="8" spans="1:242" ht="12.75" customHeight="1">
      <c r="A8" s="255"/>
      <c r="C8" s="253"/>
      <c r="D8" s="253"/>
      <c r="E8" s="298" t="s">
        <v>677</v>
      </c>
      <c r="F8" s="298">
        <v>10380</v>
      </c>
      <c r="IH8" s="293"/>
    </row>
    <row r="9" spans="1:242" ht="12.75" customHeight="1">
      <c r="A9" s="301">
        <f>(A10/A3)</f>
        <v>6.7525386847195362E-2</v>
      </c>
      <c r="B9" s="1220" t="s">
        <v>64</v>
      </c>
      <c r="C9" s="1220"/>
      <c r="D9" s="253"/>
      <c r="E9" s="298" t="s">
        <v>678</v>
      </c>
      <c r="F9" s="298">
        <v>16510</v>
      </c>
      <c r="IH9" s="293"/>
    </row>
    <row r="10" spans="1:242" ht="12.75" customHeight="1">
      <c r="A10" s="303">
        <f>(((A4*A5)*1.732)*12.9)/A7</f>
        <v>31.736931818181819</v>
      </c>
      <c r="B10" s="302" t="s">
        <v>65</v>
      </c>
      <c r="C10" s="304"/>
      <c r="D10" s="253"/>
      <c r="E10" s="298" t="s">
        <v>679</v>
      </c>
      <c r="F10" s="298">
        <v>26240</v>
      </c>
      <c r="IH10" s="293"/>
    </row>
    <row r="11" spans="1:242" ht="12.75" customHeight="1">
      <c r="A11" s="303">
        <f>A3-A10</f>
        <v>438.2630681818182</v>
      </c>
      <c r="B11" s="302" t="s">
        <v>66</v>
      </c>
      <c r="C11" s="304"/>
      <c r="D11" s="253"/>
      <c r="E11" s="298" t="s">
        <v>680</v>
      </c>
      <c r="F11" s="298">
        <v>41740</v>
      </c>
      <c r="IH11" s="293"/>
    </row>
    <row r="12" spans="1:242" ht="12.75" customHeight="1">
      <c r="A12" s="253"/>
      <c r="C12" s="253"/>
      <c r="D12" s="253"/>
      <c r="E12" s="298" t="s">
        <v>681</v>
      </c>
      <c r="F12" s="298">
        <v>52620</v>
      </c>
      <c r="IH12" s="293"/>
    </row>
    <row r="13" spans="1:242" ht="12.75" customHeight="1">
      <c r="A13" s="305">
        <f>(A14/A3)</f>
        <v>0.11097195357833656</v>
      </c>
      <c r="B13" s="306" t="s">
        <v>67</v>
      </c>
      <c r="C13" s="306"/>
      <c r="D13" s="253"/>
      <c r="E13" s="298" t="s">
        <v>682</v>
      </c>
      <c r="F13" s="298">
        <v>66360</v>
      </c>
      <c r="IH13" s="293"/>
    </row>
    <row r="14" spans="1:242" ht="12.75" customHeight="1">
      <c r="A14" s="308">
        <f>(((A4*A5)*1.732)*21.2)/A7</f>
        <v>52.156818181818181</v>
      </c>
      <c r="B14" s="307" t="s">
        <v>68</v>
      </c>
      <c r="C14" s="309"/>
      <c r="D14" s="253"/>
      <c r="E14" s="298" t="s">
        <v>683</v>
      </c>
      <c r="F14" s="298">
        <v>83690</v>
      </c>
      <c r="IH14" s="293"/>
    </row>
    <row r="15" spans="1:242" ht="12.75" customHeight="1">
      <c r="A15" s="308">
        <f>A3-A14</f>
        <v>417.84318181818185</v>
      </c>
      <c r="B15" s="307" t="s">
        <v>66</v>
      </c>
      <c r="C15" s="309"/>
      <c r="D15" s="253"/>
      <c r="E15" s="310" t="s">
        <v>702</v>
      </c>
      <c r="F15" s="298">
        <v>105600</v>
      </c>
      <c r="IH15" s="293"/>
    </row>
    <row r="16" spans="1:242" ht="12.75" customHeight="1">
      <c r="A16" s="253"/>
      <c r="C16" s="253"/>
      <c r="D16" s="253"/>
      <c r="E16" s="310" t="s">
        <v>703</v>
      </c>
      <c r="F16" s="298">
        <v>133100</v>
      </c>
      <c r="IH16" s="293"/>
    </row>
    <row r="17" spans="1:242" ht="12.75" customHeight="1">
      <c r="A17" s="301">
        <f>(A18/A3)</f>
        <v>7.7973887814313345E-2</v>
      </c>
      <c r="B17" s="640" t="s">
        <v>69</v>
      </c>
      <c r="C17" s="640"/>
      <c r="D17" s="253"/>
      <c r="E17" s="298" t="s">
        <v>704</v>
      </c>
      <c r="F17" s="298">
        <v>167800</v>
      </c>
      <c r="IH17" s="293"/>
    </row>
    <row r="18" spans="1:242" ht="12.75" customHeight="1">
      <c r="A18" s="303">
        <f>(((A4*A5)*2)*12.9)/A7</f>
        <v>36.647727272727273</v>
      </c>
      <c r="B18" s="302" t="s">
        <v>70</v>
      </c>
      <c r="C18" s="302"/>
      <c r="D18" s="253"/>
      <c r="E18" s="298" t="s">
        <v>705</v>
      </c>
      <c r="F18" s="298">
        <v>211600</v>
      </c>
      <c r="IH18" s="293"/>
    </row>
    <row r="19" spans="1:242" ht="12.75" customHeight="1">
      <c r="A19" s="303">
        <f>A3-A18</f>
        <v>433.35227272727275</v>
      </c>
      <c r="B19" s="302" t="s">
        <v>66</v>
      </c>
      <c r="C19" s="302"/>
      <c r="D19" s="253"/>
      <c r="E19" s="311" t="s">
        <v>684</v>
      </c>
      <c r="F19" s="298">
        <v>250000</v>
      </c>
      <c r="IH19" s="293"/>
    </row>
    <row r="20" spans="1:242" ht="12.75" customHeight="1">
      <c r="A20" s="253"/>
      <c r="C20" s="253"/>
      <c r="D20" s="253"/>
      <c r="E20" s="311" t="s">
        <v>685</v>
      </c>
      <c r="F20" s="298">
        <v>300000</v>
      </c>
      <c r="IH20" s="293"/>
    </row>
    <row r="21" spans="1:242" ht="12.75" customHeight="1">
      <c r="A21" s="305">
        <f>(A22/A3)</f>
        <v>0.1281431334622824</v>
      </c>
      <c r="B21" s="306" t="s">
        <v>71</v>
      </c>
      <c r="C21" s="306"/>
      <c r="D21" s="253"/>
      <c r="E21" s="311" t="s">
        <v>686</v>
      </c>
      <c r="F21" s="298">
        <v>350000</v>
      </c>
      <c r="IH21" s="293"/>
    </row>
    <row r="22" spans="1:242" ht="12.75" customHeight="1">
      <c r="A22" s="308">
        <f>(((A4*A5)*2)*21.2)/A7</f>
        <v>60.227272727272727</v>
      </c>
      <c r="B22" s="307" t="s">
        <v>72</v>
      </c>
      <c r="C22" s="307"/>
      <c r="D22" s="253"/>
      <c r="E22" s="311" t="s">
        <v>687</v>
      </c>
      <c r="F22" s="298">
        <v>400000</v>
      </c>
      <c r="IH22" s="293"/>
    </row>
    <row r="23" spans="1:242" ht="12.75" customHeight="1">
      <c r="A23" s="308">
        <f>A3-A22</f>
        <v>409.77272727272725</v>
      </c>
      <c r="B23" s="307" t="s">
        <v>66</v>
      </c>
      <c r="C23" s="307"/>
      <c r="D23" s="253"/>
      <c r="E23" s="311" t="s">
        <v>688</v>
      </c>
      <c r="F23" s="298">
        <v>500000</v>
      </c>
      <c r="IH23" s="293"/>
    </row>
    <row r="24" spans="1:242" ht="12.75" customHeight="1">
      <c r="A24" s="253"/>
      <c r="C24" s="253"/>
      <c r="D24" s="253"/>
      <c r="E24" s="311" t="s">
        <v>689</v>
      </c>
      <c r="F24" s="298">
        <v>600000</v>
      </c>
      <c r="IH24" s="293"/>
    </row>
    <row r="25" spans="1:242" ht="12.75" customHeight="1">
      <c r="A25" s="312" t="s">
        <v>706</v>
      </c>
      <c r="C25" s="253"/>
      <c r="D25" s="253"/>
      <c r="E25" s="311" t="s">
        <v>690</v>
      </c>
      <c r="F25" s="298">
        <v>700000</v>
      </c>
      <c r="IH25" s="293"/>
    </row>
    <row r="26" spans="1:242" ht="12.75" customHeight="1">
      <c r="A26" s="313" t="s">
        <v>36</v>
      </c>
      <c r="C26" s="253"/>
      <c r="D26" s="253"/>
      <c r="E26" s="311" t="s">
        <v>691</v>
      </c>
      <c r="F26" s="298">
        <v>750000</v>
      </c>
      <c r="IH26" s="293"/>
    </row>
    <row r="27" spans="1:242" ht="12.75" customHeight="1">
      <c r="A27" s="313" t="s">
        <v>37</v>
      </c>
      <c r="C27" s="253"/>
      <c r="D27" s="253"/>
      <c r="E27" s="311" t="s">
        <v>692</v>
      </c>
      <c r="F27" s="298">
        <v>800000</v>
      </c>
      <c r="IH27" s="293"/>
    </row>
    <row r="28" spans="1:242" ht="12.75" customHeight="1">
      <c r="A28" s="313" t="s">
        <v>38</v>
      </c>
      <c r="C28" s="253"/>
      <c r="D28" s="253"/>
      <c r="E28" s="311" t="s">
        <v>693</v>
      </c>
      <c r="F28" s="298">
        <v>900000</v>
      </c>
      <c r="IH28" s="293"/>
    </row>
    <row r="29" spans="1:242" ht="12.75" customHeight="1">
      <c r="A29" s="367"/>
      <c r="C29" s="367"/>
      <c r="D29" s="253"/>
      <c r="E29" s="311" t="s">
        <v>694</v>
      </c>
      <c r="F29" s="298">
        <v>1000000</v>
      </c>
      <c r="IH29" s="293"/>
    </row>
    <row r="30" spans="1:242" ht="12.75" customHeight="1">
      <c r="A30" s="379" t="s">
        <v>666</v>
      </c>
      <c r="B30" s="367"/>
      <c r="E30" s="311" t="s">
        <v>695</v>
      </c>
      <c r="F30" s="298">
        <v>1250000</v>
      </c>
      <c r="IH30" s="293"/>
    </row>
    <row r="31" spans="1:242" ht="12.75" customHeight="1">
      <c r="A31" s="380" t="s">
        <v>762</v>
      </c>
      <c r="B31" s="367"/>
      <c r="E31" s="311" t="s">
        <v>696</v>
      </c>
      <c r="F31" s="298">
        <v>1500000</v>
      </c>
    </row>
    <row r="32" spans="1:242" ht="12.75" customHeight="1">
      <c r="A32" s="136" t="s">
        <v>763</v>
      </c>
      <c r="E32" s="311" t="s">
        <v>697</v>
      </c>
      <c r="F32" s="298">
        <v>1750000</v>
      </c>
    </row>
    <row r="33" spans="1:6" ht="12.75" customHeight="1">
      <c r="A33" s="379" t="s">
        <v>766</v>
      </c>
      <c r="E33" s="311" t="s">
        <v>698</v>
      </c>
      <c r="F33" s="298">
        <v>2000000</v>
      </c>
    </row>
    <row r="34" spans="1:6" ht="12.75" customHeight="1">
      <c r="A34" s="379" t="s">
        <v>3</v>
      </c>
    </row>
    <row r="35" spans="1:6" ht="12.75" customHeight="1"/>
    <row r="36" spans="1:6" ht="12.75" customHeight="1"/>
    <row r="37" spans="1:6" ht="12.75" customHeight="1"/>
    <row r="38" spans="1:6" ht="12.75" customHeight="1"/>
    <row r="39" spans="1:6" ht="12.75" customHeight="1"/>
    <row r="40" spans="1:6" ht="12.75" customHeight="1"/>
    <row r="41" spans="1:6" ht="12.75" customHeight="1"/>
    <row r="42" spans="1:6" ht="12.75" customHeight="1"/>
    <row r="43" spans="1:6" ht="12.75" customHeight="1"/>
    <row r="44" spans="1:6" ht="12.75" customHeight="1"/>
    <row r="45" spans="1:6" ht="12.75" customHeight="1"/>
    <row r="46" spans="1:6" ht="12.75" customHeight="1"/>
    <row r="47" spans="1:6" ht="12.75" customHeight="1"/>
    <row r="48" spans="1:6" ht="12.75" customHeight="1"/>
    <row r="49" ht="12.75" customHeight="1"/>
    <row r="50" ht="12.75" customHeight="1"/>
    <row r="51" ht="12.75" customHeight="1"/>
    <row r="52" ht="12.75" customHeight="1"/>
    <row r="53" ht="12.75" customHeight="1"/>
    <row r="54" ht="12.75" customHeight="1"/>
    <row r="55" ht="12.75" customHeight="1"/>
  </sheetData>
  <sheetProtection algorithmName="SHA-512" hashValue="tq2/fXR7Nj6IAV5hbqfwYfYCkq7j5Ue4jjZfIl5LRs3EcpNOM+yC03vQOl0n6g+YQsY482/cLKQu2MWeHt9sNg==" saltValue="PCsMhbowJWoJO+VdK5Wz9g==" spinCount="100000" sheet="1" objects="1" scenarios="1"/>
  <dataConsolidate/>
  <mergeCells count="1">
    <mergeCell ref="B9:C9"/>
  </mergeCells>
  <dataValidations count="1">
    <dataValidation type="list" allowBlank="1" showInputMessage="1" showErrorMessage="1" prompt="Choose wire size" sqref="A6" xr:uid="{00000000-0002-0000-0400-000000000000}">
      <formula1>$E$4:$E$33</formula1>
    </dataValidation>
  </dataValidations>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7030A0"/>
    <pageSetUpPr fitToPage="1"/>
  </sheetPr>
  <dimension ref="A1:M67"/>
  <sheetViews>
    <sheetView workbookViewId="0">
      <selection activeCell="L1" sqref="L1"/>
    </sheetView>
  </sheetViews>
  <sheetFormatPr defaultColWidth="9.140625" defaultRowHeight="12.75"/>
  <cols>
    <col min="1" max="1" width="12.28515625" style="2" customWidth="1"/>
    <col min="2" max="2" width="63.7109375" style="2" bestFit="1" customWidth="1"/>
    <col min="3" max="3" width="9.140625" style="2"/>
    <col min="4" max="4" width="6.7109375" style="2" bestFit="1" customWidth="1"/>
    <col min="5" max="5" width="9.42578125" style="2" customWidth="1"/>
    <col min="6" max="6" width="9.5703125" style="2" bestFit="1" customWidth="1"/>
    <col min="7" max="7" width="11.28515625" style="2" bestFit="1" customWidth="1"/>
    <col min="8" max="8" width="10.28515625" style="2" bestFit="1" customWidth="1"/>
    <col min="9" max="9" width="10.5703125" style="2" bestFit="1" customWidth="1"/>
    <col min="10" max="10" width="11.140625" style="2" bestFit="1" customWidth="1"/>
    <col min="11" max="11" width="11.42578125" style="2" customWidth="1"/>
    <col min="12" max="12" width="27.28515625" style="932" customWidth="1"/>
    <col min="13" max="13" width="11.140625" style="2" bestFit="1" customWidth="1"/>
    <col min="14" max="16384" width="9.140625" style="2"/>
  </cols>
  <sheetData>
    <row r="1" spans="1:13">
      <c r="A1" s="933" t="s">
        <v>790</v>
      </c>
      <c r="D1" s="314"/>
      <c r="L1" s="932" t="s">
        <v>1044</v>
      </c>
    </row>
    <row r="2" spans="1:13">
      <c r="D2" s="314"/>
    </row>
    <row r="3" spans="1:13">
      <c r="A3" s="957" t="s">
        <v>1041</v>
      </c>
      <c r="B3" s="958"/>
      <c r="C3" s="958"/>
      <c r="D3" s="958"/>
      <c r="E3" s="958"/>
      <c r="F3" s="958"/>
      <c r="G3" s="958"/>
      <c r="H3" s="958"/>
      <c r="I3" s="958"/>
      <c r="J3" s="958"/>
      <c r="K3" s="958"/>
      <c r="L3" s="959"/>
      <c r="M3" s="958"/>
    </row>
    <row r="4" spans="1:13" s="732" customFormat="1">
      <c r="B4" s="732" t="s">
        <v>791</v>
      </c>
      <c r="C4" s="732" t="s">
        <v>35</v>
      </c>
      <c r="D4" s="955"/>
      <c r="F4" s="512" t="s">
        <v>210</v>
      </c>
      <c r="G4" s="939"/>
      <c r="H4" s="939" t="s">
        <v>793</v>
      </c>
      <c r="L4" s="938"/>
    </row>
    <row r="5" spans="1:13" s="250" customFormat="1">
      <c r="B5" s="250" t="s">
        <v>794</v>
      </c>
      <c r="C5" s="738">
        <v>1500</v>
      </c>
      <c r="D5" s="504" t="s">
        <v>1028</v>
      </c>
      <c r="E5" s="477" t="s">
        <v>388</v>
      </c>
      <c r="F5" s="477">
        <v>3</v>
      </c>
      <c r="G5" s="477" t="s">
        <v>109</v>
      </c>
      <c r="H5" s="951">
        <f t="shared" ref="H5:H26" si="0">C5*F5</f>
        <v>4500</v>
      </c>
      <c r="I5" s="250" t="s">
        <v>792</v>
      </c>
      <c r="J5" s="250" t="s">
        <v>795</v>
      </c>
      <c r="L5" s="249"/>
    </row>
    <row r="6" spans="1:13" s="250" customFormat="1">
      <c r="B6" s="250" t="s">
        <v>796</v>
      </c>
      <c r="C6" s="876">
        <v>1500</v>
      </c>
      <c r="D6" s="504" t="s">
        <v>792</v>
      </c>
      <c r="E6" s="477" t="s">
        <v>388</v>
      </c>
      <c r="F6" s="611">
        <v>2</v>
      </c>
      <c r="G6" s="477" t="s">
        <v>109</v>
      </c>
      <c r="H6" s="951">
        <f t="shared" si="0"/>
        <v>3000</v>
      </c>
      <c r="I6" s="250" t="s">
        <v>792</v>
      </c>
      <c r="J6" s="250" t="s">
        <v>797</v>
      </c>
      <c r="L6" s="249"/>
    </row>
    <row r="7" spans="1:13" s="250" customFormat="1">
      <c r="B7" s="250" t="s">
        <v>798</v>
      </c>
      <c r="C7" s="876">
        <v>1500</v>
      </c>
      <c r="D7" s="504" t="s">
        <v>792</v>
      </c>
      <c r="E7" s="477" t="s">
        <v>388</v>
      </c>
      <c r="F7" s="611">
        <v>1</v>
      </c>
      <c r="G7" s="477" t="s">
        <v>109</v>
      </c>
      <c r="H7" s="951">
        <f t="shared" si="0"/>
        <v>1500</v>
      </c>
      <c r="I7" s="250" t="s">
        <v>792</v>
      </c>
      <c r="J7" s="250" t="s">
        <v>797</v>
      </c>
      <c r="L7" s="249"/>
    </row>
    <row r="8" spans="1:13" s="250" customFormat="1">
      <c r="B8" s="250" t="s">
        <v>799</v>
      </c>
      <c r="C8" s="738">
        <v>12000</v>
      </c>
      <c r="D8" s="504" t="s">
        <v>792</v>
      </c>
      <c r="E8" s="477" t="s">
        <v>388</v>
      </c>
      <c r="F8" s="611">
        <v>1</v>
      </c>
      <c r="G8" s="477" t="s">
        <v>109</v>
      </c>
      <c r="H8" s="951">
        <f t="shared" si="0"/>
        <v>12000</v>
      </c>
      <c r="I8" s="250" t="s">
        <v>792</v>
      </c>
      <c r="J8" s="250" t="s">
        <v>800</v>
      </c>
      <c r="L8" s="249"/>
    </row>
    <row r="9" spans="1:13" s="250" customFormat="1">
      <c r="B9" s="250" t="s">
        <v>799</v>
      </c>
      <c r="C9" s="738">
        <v>0</v>
      </c>
      <c r="D9" s="504" t="s">
        <v>792</v>
      </c>
      <c r="E9" s="477" t="s">
        <v>388</v>
      </c>
      <c r="F9" s="611">
        <v>1</v>
      </c>
      <c r="G9" s="477" t="s">
        <v>109</v>
      </c>
      <c r="H9" s="951">
        <f t="shared" si="0"/>
        <v>0</v>
      </c>
      <c r="I9" s="250" t="s">
        <v>792</v>
      </c>
      <c r="J9" s="250" t="s">
        <v>800</v>
      </c>
      <c r="L9" s="249"/>
    </row>
    <row r="10" spans="1:13" s="250" customFormat="1">
      <c r="B10" s="250" t="s">
        <v>799</v>
      </c>
      <c r="C10" s="738">
        <v>0</v>
      </c>
      <c r="D10" s="504" t="s">
        <v>792</v>
      </c>
      <c r="E10" s="477" t="s">
        <v>388</v>
      </c>
      <c r="F10" s="611">
        <v>1</v>
      </c>
      <c r="G10" s="477" t="s">
        <v>109</v>
      </c>
      <c r="H10" s="951">
        <f t="shared" si="0"/>
        <v>0</v>
      </c>
      <c r="I10" s="250" t="s">
        <v>792</v>
      </c>
      <c r="J10" s="250" t="s">
        <v>800</v>
      </c>
      <c r="L10" s="249"/>
    </row>
    <row r="11" spans="1:13" s="250" customFormat="1">
      <c r="B11" s="250" t="s">
        <v>801</v>
      </c>
      <c r="C11" s="738">
        <v>5000</v>
      </c>
      <c r="D11" s="504" t="s">
        <v>792</v>
      </c>
      <c r="E11" s="477" t="s">
        <v>388</v>
      </c>
      <c r="F11" s="611">
        <v>1</v>
      </c>
      <c r="G11" s="477" t="s">
        <v>109</v>
      </c>
      <c r="H11" s="951">
        <f t="shared" si="0"/>
        <v>5000</v>
      </c>
      <c r="I11" s="250" t="s">
        <v>792</v>
      </c>
      <c r="J11" s="250" t="s">
        <v>800</v>
      </c>
      <c r="L11" s="249"/>
    </row>
    <row r="12" spans="1:13" s="250" customFormat="1">
      <c r="B12" s="250" t="s">
        <v>802</v>
      </c>
      <c r="C12" s="738">
        <v>4500</v>
      </c>
      <c r="D12" s="504" t="s">
        <v>792</v>
      </c>
      <c r="E12" s="477" t="s">
        <v>388</v>
      </c>
      <c r="F12" s="611">
        <v>1</v>
      </c>
      <c r="G12" s="477" t="s">
        <v>109</v>
      </c>
      <c r="H12" s="951">
        <f t="shared" si="0"/>
        <v>4500</v>
      </c>
      <c r="I12" s="250" t="s">
        <v>792</v>
      </c>
      <c r="J12" s="250" t="s">
        <v>800</v>
      </c>
      <c r="L12" s="249"/>
    </row>
    <row r="13" spans="1:13" s="250" customFormat="1">
      <c r="B13" s="250" t="s">
        <v>803</v>
      </c>
      <c r="C13" s="738">
        <v>1200</v>
      </c>
      <c r="D13" s="504" t="s">
        <v>792</v>
      </c>
      <c r="E13" s="477" t="s">
        <v>388</v>
      </c>
      <c r="F13" s="611">
        <v>1</v>
      </c>
      <c r="G13" s="477" t="s">
        <v>109</v>
      </c>
      <c r="H13" s="951">
        <f t="shared" si="0"/>
        <v>1200</v>
      </c>
      <c r="I13" s="250" t="s">
        <v>792</v>
      </c>
      <c r="J13" s="250" t="s">
        <v>800</v>
      </c>
      <c r="L13" s="249"/>
    </row>
    <row r="14" spans="1:13" s="250" customFormat="1">
      <c r="B14" s="250" t="s">
        <v>804</v>
      </c>
      <c r="C14" s="738">
        <v>4500</v>
      </c>
      <c r="D14" s="504" t="s">
        <v>792</v>
      </c>
      <c r="E14" s="477" t="s">
        <v>388</v>
      </c>
      <c r="F14" s="611">
        <v>1</v>
      </c>
      <c r="G14" s="477" t="s">
        <v>109</v>
      </c>
      <c r="H14" s="951">
        <f t="shared" si="0"/>
        <v>4500</v>
      </c>
      <c r="I14" s="250" t="s">
        <v>792</v>
      </c>
      <c r="J14" s="250" t="s">
        <v>800</v>
      </c>
      <c r="L14" s="249"/>
    </row>
    <row r="15" spans="1:13" s="250" customFormat="1">
      <c r="B15" s="250" t="s">
        <v>805</v>
      </c>
      <c r="C15" s="738">
        <v>900</v>
      </c>
      <c r="D15" s="504" t="s">
        <v>792</v>
      </c>
      <c r="E15" s="477" t="s">
        <v>388</v>
      </c>
      <c r="F15" s="611">
        <v>1</v>
      </c>
      <c r="G15" s="477" t="s">
        <v>109</v>
      </c>
      <c r="H15" s="951">
        <f t="shared" si="0"/>
        <v>900</v>
      </c>
      <c r="I15" s="250" t="s">
        <v>792</v>
      </c>
      <c r="J15" s="250" t="s">
        <v>800</v>
      </c>
      <c r="L15" s="249"/>
    </row>
    <row r="16" spans="1:13" s="250" customFormat="1">
      <c r="B16" s="250" t="s">
        <v>806</v>
      </c>
      <c r="C16" s="738">
        <v>450</v>
      </c>
      <c r="D16" s="504" t="s">
        <v>792</v>
      </c>
      <c r="E16" s="477" t="s">
        <v>388</v>
      </c>
      <c r="F16" s="611">
        <v>1</v>
      </c>
      <c r="G16" s="477" t="s">
        <v>109</v>
      </c>
      <c r="H16" s="951">
        <f t="shared" si="0"/>
        <v>450</v>
      </c>
      <c r="I16" s="250" t="s">
        <v>792</v>
      </c>
      <c r="J16" s="250" t="s">
        <v>800</v>
      </c>
      <c r="L16" s="249"/>
    </row>
    <row r="17" spans="1:13" s="250" customFormat="1">
      <c r="B17" s="250" t="s">
        <v>807</v>
      </c>
      <c r="C17" s="738">
        <v>200</v>
      </c>
      <c r="D17" s="504" t="s">
        <v>792</v>
      </c>
      <c r="E17" s="477" t="s">
        <v>388</v>
      </c>
      <c r="F17" s="611">
        <v>1</v>
      </c>
      <c r="G17" s="477" t="s">
        <v>109</v>
      </c>
      <c r="H17" s="951">
        <f t="shared" si="0"/>
        <v>200</v>
      </c>
      <c r="I17" s="250" t="s">
        <v>792</v>
      </c>
      <c r="J17" s="250" t="s">
        <v>800</v>
      </c>
      <c r="L17" s="249"/>
    </row>
    <row r="18" spans="1:13" s="250" customFormat="1">
      <c r="B18" s="738" t="s">
        <v>808</v>
      </c>
      <c r="C18" s="738"/>
      <c r="D18" s="504" t="s">
        <v>792</v>
      </c>
      <c r="E18" s="477" t="s">
        <v>388</v>
      </c>
      <c r="F18" s="611">
        <v>1</v>
      </c>
      <c r="G18" s="477" t="s">
        <v>109</v>
      </c>
      <c r="H18" s="951">
        <f t="shared" si="0"/>
        <v>0</v>
      </c>
      <c r="I18" s="250" t="s">
        <v>792</v>
      </c>
      <c r="J18" s="250" t="s">
        <v>800</v>
      </c>
      <c r="L18" s="249"/>
    </row>
    <row r="19" spans="1:13" s="250" customFormat="1">
      <c r="B19" s="738" t="s">
        <v>809</v>
      </c>
      <c r="C19" s="738"/>
      <c r="D19" s="504" t="s">
        <v>792</v>
      </c>
      <c r="E19" s="477" t="s">
        <v>388</v>
      </c>
      <c r="F19" s="611">
        <v>1</v>
      </c>
      <c r="G19" s="477" t="s">
        <v>109</v>
      </c>
      <c r="H19" s="951">
        <f t="shared" si="0"/>
        <v>0</v>
      </c>
      <c r="I19" s="250" t="s">
        <v>792</v>
      </c>
      <c r="J19" s="250" t="s">
        <v>800</v>
      </c>
      <c r="L19" s="249"/>
    </row>
    <row r="20" spans="1:13" s="250" customFormat="1">
      <c r="B20" s="738" t="s">
        <v>810</v>
      </c>
      <c r="C20" s="738"/>
      <c r="D20" s="504" t="s">
        <v>792</v>
      </c>
      <c r="E20" s="477" t="s">
        <v>388</v>
      </c>
      <c r="F20" s="611">
        <v>1</v>
      </c>
      <c r="G20" s="477" t="s">
        <v>109</v>
      </c>
      <c r="H20" s="951">
        <f t="shared" si="0"/>
        <v>0</v>
      </c>
      <c r="I20" s="250" t="s">
        <v>792</v>
      </c>
      <c r="J20" s="250" t="s">
        <v>800</v>
      </c>
      <c r="L20" s="249"/>
    </row>
    <row r="21" spans="1:13" s="250" customFormat="1">
      <c r="B21" s="738" t="s">
        <v>854</v>
      </c>
      <c r="C21" s="738"/>
      <c r="D21" s="504" t="s">
        <v>792</v>
      </c>
      <c r="E21" s="477" t="s">
        <v>388</v>
      </c>
      <c r="F21" s="611">
        <v>1</v>
      </c>
      <c r="G21" s="477" t="s">
        <v>109</v>
      </c>
      <c r="H21" s="951">
        <f t="shared" si="0"/>
        <v>0</v>
      </c>
      <c r="I21" s="250" t="s">
        <v>792</v>
      </c>
      <c r="J21" s="250" t="s">
        <v>800</v>
      </c>
      <c r="L21" s="249"/>
    </row>
    <row r="22" spans="1:13" s="250" customFormat="1">
      <c r="B22" s="738" t="s">
        <v>855</v>
      </c>
      <c r="C22" s="738"/>
      <c r="D22" s="504" t="s">
        <v>792</v>
      </c>
      <c r="E22" s="477" t="s">
        <v>388</v>
      </c>
      <c r="F22" s="611">
        <v>1</v>
      </c>
      <c r="G22" s="477" t="s">
        <v>109</v>
      </c>
      <c r="H22" s="951">
        <f t="shared" si="0"/>
        <v>0</v>
      </c>
      <c r="I22" s="250" t="s">
        <v>792</v>
      </c>
      <c r="J22" s="250" t="s">
        <v>800</v>
      </c>
      <c r="L22" s="249"/>
    </row>
    <row r="23" spans="1:13" s="250" customFormat="1">
      <c r="B23" s="738" t="s">
        <v>811</v>
      </c>
      <c r="C23" s="738"/>
      <c r="D23" s="504" t="s">
        <v>792</v>
      </c>
      <c r="E23" s="477" t="s">
        <v>388</v>
      </c>
      <c r="F23" s="611">
        <v>1</v>
      </c>
      <c r="G23" s="477" t="s">
        <v>109</v>
      </c>
      <c r="H23" s="951">
        <f t="shared" si="0"/>
        <v>0</v>
      </c>
      <c r="I23" s="250" t="s">
        <v>792</v>
      </c>
      <c r="J23" s="250" t="s">
        <v>812</v>
      </c>
      <c r="L23" s="249"/>
    </row>
    <row r="24" spans="1:13" s="250" customFormat="1">
      <c r="B24" s="738" t="s">
        <v>811</v>
      </c>
      <c r="C24" s="738"/>
      <c r="D24" s="504" t="s">
        <v>792</v>
      </c>
      <c r="E24" s="477" t="s">
        <v>388</v>
      </c>
      <c r="F24" s="611">
        <v>1</v>
      </c>
      <c r="G24" s="477" t="s">
        <v>109</v>
      </c>
      <c r="H24" s="953">
        <f t="shared" si="0"/>
        <v>0</v>
      </c>
      <c r="I24" s="250" t="s">
        <v>792</v>
      </c>
      <c r="J24" s="250" t="s">
        <v>812</v>
      </c>
      <c r="L24" s="249"/>
    </row>
    <row r="25" spans="1:13" s="250" customFormat="1">
      <c r="B25" s="738" t="s">
        <v>559</v>
      </c>
      <c r="C25" s="738"/>
      <c r="D25" s="504" t="s">
        <v>792</v>
      </c>
      <c r="E25" s="477" t="s">
        <v>388</v>
      </c>
      <c r="F25" s="611">
        <v>1</v>
      </c>
      <c r="G25" s="477" t="s">
        <v>109</v>
      </c>
      <c r="H25" s="951">
        <f t="shared" si="0"/>
        <v>0</v>
      </c>
      <c r="I25" s="250" t="s">
        <v>792</v>
      </c>
      <c r="J25" s="250" t="s">
        <v>812</v>
      </c>
      <c r="L25" s="249"/>
    </row>
    <row r="26" spans="1:13" s="250" customFormat="1" ht="13.5" thickBot="1">
      <c r="B26" s="738" t="s">
        <v>559</v>
      </c>
      <c r="C26" s="738"/>
      <c r="D26" s="504" t="s">
        <v>792</v>
      </c>
      <c r="E26" s="477" t="s">
        <v>388</v>
      </c>
      <c r="F26" s="611">
        <v>1</v>
      </c>
      <c r="G26" s="477" t="s">
        <v>109</v>
      </c>
      <c r="H26" s="952">
        <f t="shared" si="0"/>
        <v>0</v>
      </c>
      <c r="I26" s="250" t="s">
        <v>792</v>
      </c>
      <c r="J26" s="250" t="s">
        <v>812</v>
      </c>
      <c r="L26" s="249"/>
    </row>
    <row r="27" spans="1:13" s="732" customFormat="1">
      <c r="B27" s="732" t="s">
        <v>813</v>
      </c>
      <c r="D27" s="955"/>
      <c r="H27" s="956">
        <f>SUM(H5:H26)</f>
        <v>37750</v>
      </c>
      <c r="I27" s="732" t="s">
        <v>792</v>
      </c>
      <c r="L27" s="938"/>
    </row>
    <row r="28" spans="1:13" s="250" customFormat="1">
      <c r="L28" s="249"/>
    </row>
    <row r="29" spans="1:13" s="250" customFormat="1">
      <c r="A29" s="960" t="s">
        <v>814</v>
      </c>
      <c r="B29" s="961"/>
      <c r="C29" s="961"/>
      <c r="D29" s="961"/>
      <c r="E29" s="961"/>
      <c r="F29" s="961"/>
      <c r="G29" s="961"/>
      <c r="H29" s="961"/>
      <c r="I29" s="961"/>
      <c r="J29" s="961"/>
      <c r="K29" s="961"/>
      <c r="L29" s="962"/>
      <c r="M29" s="961"/>
    </row>
    <row r="30" spans="1:13" s="250" customFormat="1">
      <c r="C30" s="732" t="s">
        <v>35</v>
      </c>
      <c r="D30" s="732"/>
      <c r="E30" s="732"/>
      <c r="F30" s="512" t="s">
        <v>210</v>
      </c>
      <c r="G30" s="939"/>
      <c r="H30" s="939" t="s">
        <v>793</v>
      </c>
      <c r="I30" s="188"/>
      <c r="M30" s="249"/>
    </row>
    <row r="31" spans="1:13" s="250" customFormat="1">
      <c r="B31" s="250" t="s">
        <v>815</v>
      </c>
      <c r="C31" s="934">
        <v>10000</v>
      </c>
      <c r="D31" s="504" t="s">
        <v>792</v>
      </c>
      <c r="E31" s="477" t="s">
        <v>388</v>
      </c>
      <c r="F31" s="873">
        <v>1</v>
      </c>
      <c r="G31" s="477" t="s">
        <v>109</v>
      </c>
      <c r="H31" s="935">
        <f>C31*F31</f>
        <v>10000</v>
      </c>
      <c r="I31" s="250" t="s">
        <v>792</v>
      </c>
      <c r="J31" s="250" t="s">
        <v>816</v>
      </c>
      <c r="M31" s="249"/>
    </row>
    <row r="32" spans="1:13" s="250" customFormat="1" ht="13.5" thickBot="1">
      <c r="B32" s="964" t="s">
        <v>1043</v>
      </c>
      <c r="C32" s="934">
        <f>H27-C31</f>
        <v>27750</v>
      </c>
      <c r="D32" s="504" t="s">
        <v>792</v>
      </c>
      <c r="E32" s="477" t="s">
        <v>388</v>
      </c>
      <c r="F32" s="873">
        <v>0.4</v>
      </c>
      <c r="G32" s="477" t="s">
        <v>109</v>
      </c>
      <c r="H32" s="936">
        <f>C32*F32</f>
        <v>11100</v>
      </c>
      <c r="I32" s="250" t="s">
        <v>792</v>
      </c>
      <c r="J32" s="250" t="s">
        <v>816</v>
      </c>
      <c r="M32" s="249"/>
    </row>
    <row r="33" spans="1:13" s="732" customFormat="1">
      <c r="B33" s="732" t="s">
        <v>817</v>
      </c>
      <c r="H33" s="937">
        <f>SUM(H31:H32)</f>
        <v>21100</v>
      </c>
      <c r="I33" s="732" t="s">
        <v>792</v>
      </c>
      <c r="M33" s="938"/>
    </row>
    <row r="34" spans="1:13" s="250" customFormat="1">
      <c r="L34" s="249"/>
    </row>
    <row r="35" spans="1:13" s="250" customFormat="1">
      <c r="A35" s="963" t="s">
        <v>1042</v>
      </c>
      <c r="B35" s="961"/>
      <c r="C35" s="961"/>
      <c r="D35" s="961"/>
      <c r="E35" s="961"/>
      <c r="F35" s="961"/>
      <c r="G35" s="961"/>
      <c r="H35" s="961"/>
      <c r="I35" s="961"/>
      <c r="J35" s="961"/>
      <c r="K35" s="961"/>
      <c r="L35" s="962"/>
      <c r="M35" s="961"/>
    </row>
    <row r="36" spans="1:13" s="250" customFormat="1">
      <c r="A36" s="938"/>
      <c r="C36" s="939" t="s">
        <v>35</v>
      </c>
      <c r="D36" s="939"/>
      <c r="E36" s="939"/>
      <c r="F36" s="512" t="s">
        <v>210</v>
      </c>
      <c r="G36" s="939"/>
      <c r="H36" s="939" t="s">
        <v>1031</v>
      </c>
      <c r="I36" s="188"/>
      <c r="J36" s="512" t="s">
        <v>985</v>
      </c>
      <c r="K36" s="188"/>
      <c r="M36" s="249"/>
    </row>
    <row r="37" spans="1:13" s="250" customFormat="1">
      <c r="K37" s="250" t="s">
        <v>35</v>
      </c>
      <c r="M37" s="249"/>
    </row>
    <row r="38" spans="1:13" s="250" customFormat="1">
      <c r="A38" s="188">
        <v>1</v>
      </c>
      <c r="B38" s="250" t="s">
        <v>818</v>
      </c>
      <c r="C38" s="738">
        <v>20000</v>
      </c>
      <c r="D38" s="504" t="s">
        <v>792</v>
      </c>
      <c r="E38" s="477" t="s">
        <v>388</v>
      </c>
      <c r="F38" s="873">
        <v>1</v>
      </c>
      <c r="G38" s="477" t="s">
        <v>109</v>
      </c>
      <c r="H38" s="934">
        <f>C38*F38</f>
        <v>20000</v>
      </c>
      <c r="I38" s="940" t="s">
        <v>109</v>
      </c>
      <c r="J38" s="941">
        <f>H38</f>
        <v>20000</v>
      </c>
      <c r="K38" s="250" t="s">
        <v>792</v>
      </c>
      <c r="L38" s="250" t="s">
        <v>819</v>
      </c>
      <c r="M38" s="938" t="s">
        <v>1034</v>
      </c>
    </row>
    <row r="39" spans="1:13" s="250" customFormat="1">
      <c r="A39" s="188"/>
      <c r="C39" s="184"/>
      <c r="D39" s="184"/>
      <c r="E39" s="477"/>
      <c r="F39" s="873"/>
      <c r="G39" s="477"/>
      <c r="H39" s="942"/>
      <c r="I39" s="942"/>
      <c r="J39" s="941"/>
      <c r="M39" s="938"/>
    </row>
    <row r="40" spans="1:13" s="250" customFormat="1">
      <c r="A40" s="188">
        <v>2</v>
      </c>
      <c r="B40" s="250" t="s">
        <v>1029</v>
      </c>
      <c r="C40" s="738">
        <v>0</v>
      </c>
      <c r="D40" s="504" t="s">
        <v>792</v>
      </c>
      <c r="E40" s="477" t="s">
        <v>388</v>
      </c>
      <c r="F40" s="873">
        <v>1</v>
      </c>
      <c r="G40" s="477" t="s">
        <v>109</v>
      </c>
      <c r="H40" s="942">
        <f>C40*F40</f>
        <v>0</v>
      </c>
      <c r="I40" s="940" t="s">
        <v>109</v>
      </c>
      <c r="J40" s="941">
        <f>H40</f>
        <v>0</v>
      </c>
      <c r="K40" s="250" t="s">
        <v>792</v>
      </c>
      <c r="L40" s="250" t="s">
        <v>820</v>
      </c>
      <c r="M40" s="938" t="s">
        <v>1035</v>
      </c>
    </row>
    <row r="41" spans="1:13" s="250" customFormat="1">
      <c r="A41" s="188"/>
      <c r="C41" s="184"/>
      <c r="D41" s="184"/>
      <c r="E41" s="477"/>
      <c r="F41" s="873"/>
      <c r="G41" s="477"/>
      <c r="H41" s="942"/>
      <c r="I41" s="942"/>
      <c r="J41" s="941"/>
      <c r="M41" s="938"/>
    </row>
    <row r="42" spans="1:13" s="250" customFormat="1">
      <c r="A42" s="188">
        <v>3.1</v>
      </c>
      <c r="B42" s="250" t="s">
        <v>1030</v>
      </c>
      <c r="C42" s="738">
        <v>0</v>
      </c>
      <c r="D42" s="504" t="s">
        <v>792</v>
      </c>
      <c r="E42" s="477" t="s">
        <v>388</v>
      </c>
      <c r="F42" s="873">
        <v>1</v>
      </c>
      <c r="G42" s="477" t="s">
        <v>109</v>
      </c>
      <c r="H42" s="942">
        <f>C42*F42</f>
        <v>0</v>
      </c>
      <c r="I42" s="942"/>
      <c r="J42" s="941"/>
      <c r="K42" s="250" t="s">
        <v>35</v>
      </c>
      <c r="L42" s="250" t="s">
        <v>822</v>
      </c>
      <c r="M42" s="938" t="s">
        <v>1036</v>
      </c>
    </row>
    <row r="43" spans="1:13" s="250" customFormat="1">
      <c r="A43" s="188">
        <v>3.2</v>
      </c>
      <c r="B43" s="250" t="s">
        <v>821</v>
      </c>
      <c r="C43" s="738">
        <v>0</v>
      </c>
      <c r="D43" s="504" t="s">
        <v>792</v>
      </c>
      <c r="E43" s="477" t="s">
        <v>388</v>
      </c>
      <c r="F43" s="822">
        <v>0.65</v>
      </c>
      <c r="G43" s="477" t="s">
        <v>109</v>
      </c>
      <c r="H43" s="943">
        <f>C43*F43</f>
        <v>0</v>
      </c>
      <c r="I43" s="944" t="s">
        <v>922</v>
      </c>
      <c r="J43" s="945"/>
      <c r="K43" s="250" t="s">
        <v>35</v>
      </c>
      <c r="L43" s="250" t="s">
        <v>822</v>
      </c>
      <c r="M43" s="938" t="s">
        <v>1036</v>
      </c>
    </row>
    <row r="44" spans="1:13" s="250" customFormat="1">
      <c r="A44" s="188">
        <v>3.3</v>
      </c>
      <c r="B44" s="250" t="s">
        <v>1033</v>
      </c>
      <c r="C44" s="184"/>
      <c r="D44" s="184"/>
      <c r="E44" s="477"/>
      <c r="F44" s="822"/>
      <c r="G44" s="477"/>
      <c r="H44" s="942">
        <f>SUM(H42:H43)</f>
        <v>0</v>
      </c>
      <c r="I44" s="940" t="s">
        <v>109</v>
      </c>
      <c r="J44" s="941">
        <f>H44</f>
        <v>0</v>
      </c>
      <c r="K44" s="250" t="s">
        <v>792</v>
      </c>
      <c r="L44" s="250" t="s">
        <v>1032</v>
      </c>
      <c r="M44" s="938" t="s">
        <v>1036</v>
      </c>
    </row>
    <row r="45" spans="1:13" s="250" customFormat="1">
      <c r="A45" s="188"/>
      <c r="C45" s="184"/>
      <c r="D45" s="184"/>
      <c r="E45" s="477"/>
      <c r="F45" s="822"/>
      <c r="G45" s="477"/>
      <c r="H45" s="942"/>
      <c r="I45" s="942"/>
      <c r="J45" s="941"/>
      <c r="M45" s="938"/>
    </row>
    <row r="46" spans="1:13" s="250" customFormat="1">
      <c r="A46" s="188">
        <v>4</v>
      </c>
      <c r="B46" s="250" t="s">
        <v>823</v>
      </c>
      <c r="C46" s="738">
        <v>0</v>
      </c>
      <c r="D46" s="504" t="s">
        <v>792</v>
      </c>
      <c r="E46" s="477" t="s">
        <v>388</v>
      </c>
      <c r="F46" s="822">
        <v>0.65</v>
      </c>
      <c r="G46" s="477" t="s">
        <v>109</v>
      </c>
      <c r="H46" s="942">
        <f>C46*F46</f>
        <v>0</v>
      </c>
      <c r="I46" s="940" t="s">
        <v>109</v>
      </c>
      <c r="J46" s="941">
        <f>H46</f>
        <v>0</v>
      </c>
      <c r="K46" s="250" t="s">
        <v>792</v>
      </c>
      <c r="L46" s="250" t="s">
        <v>824</v>
      </c>
      <c r="M46" s="938" t="s">
        <v>1037</v>
      </c>
    </row>
    <row r="47" spans="1:13" s="250" customFormat="1">
      <c r="A47" s="188"/>
      <c r="C47" s="184"/>
      <c r="D47" s="184"/>
      <c r="E47" s="477"/>
      <c r="F47" s="822"/>
      <c r="G47" s="477"/>
      <c r="H47" s="942"/>
      <c r="I47" s="942"/>
      <c r="J47" s="941"/>
      <c r="M47" s="938"/>
    </row>
    <row r="48" spans="1:13" s="250" customFormat="1">
      <c r="A48" s="188">
        <v>5</v>
      </c>
      <c r="B48" s="250" t="s">
        <v>825</v>
      </c>
      <c r="C48" s="738">
        <v>0</v>
      </c>
      <c r="D48" s="504" t="s">
        <v>792</v>
      </c>
      <c r="E48" s="477" t="s">
        <v>388</v>
      </c>
      <c r="F48" s="822">
        <v>0.4</v>
      </c>
      <c r="G48" s="477" t="s">
        <v>109</v>
      </c>
      <c r="H48" s="942">
        <f>C48*F48</f>
        <v>0</v>
      </c>
      <c r="I48" s="940" t="s">
        <v>109</v>
      </c>
      <c r="J48" s="941">
        <f>H48</f>
        <v>0</v>
      </c>
      <c r="K48" s="250" t="s">
        <v>792</v>
      </c>
      <c r="L48" s="250" t="s">
        <v>826</v>
      </c>
      <c r="M48" s="938" t="s">
        <v>1040</v>
      </c>
    </row>
    <row r="49" spans="1:13" s="250" customFormat="1">
      <c r="A49" s="188"/>
      <c r="C49" s="184"/>
      <c r="D49" s="184"/>
      <c r="E49" s="477"/>
      <c r="F49" s="822"/>
      <c r="G49" s="477"/>
      <c r="H49" s="942"/>
      <c r="I49" s="942"/>
      <c r="J49" s="941"/>
      <c r="M49" s="938"/>
    </row>
    <row r="50" spans="1:13" s="250" customFormat="1" ht="13.5" thickBot="1">
      <c r="A50" s="188">
        <v>6</v>
      </c>
      <c r="B50" s="250" t="s">
        <v>827</v>
      </c>
      <c r="C50" s="738">
        <v>0</v>
      </c>
      <c r="D50" s="504" t="s">
        <v>792</v>
      </c>
      <c r="E50" s="477" t="s">
        <v>388</v>
      </c>
      <c r="F50" s="822">
        <v>1</v>
      </c>
      <c r="G50" s="477" t="s">
        <v>109</v>
      </c>
      <c r="H50" s="946">
        <f>C50*F50</f>
        <v>0</v>
      </c>
      <c r="I50" s="940" t="s">
        <v>109</v>
      </c>
      <c r="J50" s="947">
        <f>H50</f>
        <v>0</v>
      </c>
      <c r="K50" s="250" t="s">
        <v>792</v>
      </c>
      <c r="L50" s="250" t="s">
        <v>828</v>
      </c>
      <c r="M50" s="938" t="s">
        <v>1038</v>
      </c>
    </row>
    <row r="51" spans="1:13" s="250" customFormat="1">
      <c r="B51" s="732" t="s">
        <v>829</v>
      </c>
      <c r="C51" s="184"/>
      <c r="D51" s="184"/>
      <c r="H51" s="948" t="s">
        <v>35</v>
      </c>
      <c r="I51" s="948"/>
      <c r="J51" s="949">
        <f>MAX(J38:J50)</f>
        <v>20000</v>
      </c>
      <c r="K51" s="482" t="s">
        <v>792</v>
      </c>
      <c r="L51" s="482" t="s">
        <v>1039</v>
      </c>
      <c r="M51" s="249"/>
    </row>
    <row r="52" spans="1:13" s="250" customFormat="1">
      <c r="B52" s="732"/>
      <c r="H52" s="948"/>
      <c r="I52" s="732"/>
      <c r="J52" s="950"/>
      <c r="M52" s="249"/>
    </row>
    <row r="53" spans="1:13" s="250" customFormat="1">
      <c r="A53" s="963" t="s">
        <v>830</v>
      </c>
      <c r="B53" s="961"/>
      <c r="C53" s="961"/>
      <c r="D53" s="961"/>
      <c r="E53" s="961"/>
      <c r="F53" s="961"/>
      <c r="G53" s="961"/>
      <c r="H53" s="961"/>
      <c r="I53" s="961"/>
      <c r="J53" s="961"/>
      <c r="K53" s="961"/>
      <c r="L53" s="962"/>
      <c r="M53" s="961"/>
    </row>
    <row r="54" spans="1:13" s="250" customFormat="1">
      <c r="L54" s="249"/>
    </row>
    <row r="55" spans="1:13" s="732" customFormat="1">
      <c r="B55" s="732" t="str">
        <f>B33</f>
        <v>Demand Load</v>
      </c>
      <c r="G55" s="951">
        <f>H33</f>
        <v>21100</v>
      </c>
      <c r="L55" s="938"/>
    </row>
    <row r="56" spans="1:13" s="732" customFormat="1" ht="13.5" thickBot="1">
      <c r="B56" s="732" t="str">
        <f>B51</f>
        <v>Heating and Air-Conditioning Load</v>
      </c>
      <c r="G56" s="952">
        <f>J51</f>
        <v>20000</v>
      </c>
      <c r="L56" s="938"/>
    </row>
    <row r="57" spans="1:13" s="732" customFormat="1">
      <c r="G57" s="953">
        <f>SUM(G55:G56)</f>
        <v>41100</v>
      </c>
      <c r="H57" s="732" t="s">
        <v>831</v>
      </c>
      <c r="I57" s="954">
        <f>G57/240</f>
        <v>171.25</v>
      </c>
      <c r="J57" s="732" t="s">
        <v>329</v>
      </c>
      <c r="L57" s="938"/>
    </row>
    <row r="58" spans="1:13" s="250" customFormat="1">
      <c r="A58" s="249" t="s">
        <v>666</v>
      </c>
      <c r="L58" s="249"/>
    </row>
    <row r="59" spans="1:13" s="250" customFormat="1">
      <c r="A59" s="250" t="s">
        <v>762</v>
      </c>
      <c r="L59" s="249"/>
    </row>
    <row r="60" spans="1:13" s="250" customFormat="1">
      <c r="A60" s="250" t="s">
        <v>763</v>
      </c>
      <c r="L60" s="249"/>
    </row>
    <row r="61" spans="1:13" s="250" customFormat="1">
      <c r="A61" s="249" t="s">
        <v>788</v>
      </c>
      <c r="L61" s="249"/>
    </row>
    <row r="62" spans="1:13" s="250" customFormat="1">
      <c r="A62" s="249" t="s">
        <v>3</v>
      </c>
      <c r="L62" s="249"/>
    </row>
    <row r="63" spans="1:13" s="250" customFormat="1">
      <c r="L63" s="249"/>
    </row>
    <row r="64" spans="1:13" s="250" customFormat="1">
      <c r="L64" s="249"/>
    </row>
    <row r="65" spans="12:12" s="250" customFormat="1">
      <c r="L65" s="249"/>
    </row>
    <row r="66" spans="12:12" s="250" customFormat="1">
      <c r="L66" s="249"/>
    </row>
    <row r="67" spans="12:12" s="250" customFormat="1">
      <c r="L67" s="249"/>
    </row>
  </sheetData>
  <sheetProtection algorithmName="SHA-512" hashValue="nfHzo0igf6CCnktr+2Y2v1NDWgea60alFlPkm33Ncpk1RISuh0NXrxQYweWX4sO5kupQZ/IKnHubLgTXIXfTUw==" saltValue="GNDDW/cPsBqAyjYw0wV90g==" spinCount="100000" sheet="1" objects="1" scenarios="1"/>
  <pageMargins left="0.7" right="0.7" top="0.75" bottom="0.75" header="0.3" footer="0.3"/>
  <pageSetup scale="61" orientation="landscape" horizontalDpi="1200" verticalDpi="12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rgb="FF7030A0"/>
    <pageSetUpPr fitToPage="1"/>
  </sheetPr>
  <dimension ref="A1:G21"/>
  <sheetViews>
    <sheetView workbookViewId="0">
      <selection activeCell="E13" sqref="E13"/>
    </sheetView>
  </sheetViews>
  <sheetFormatPr defaultColWidth="10.42578125" defaultRowHeight="15"/>
  <cols>
    <col min="1" max="1" width="15.140625" style="836" customWidth="1"/>
    <col min="2" max="2" width="14.140625" style="836" customWidth="1"/>
    <col min="3" max="13" width="10.42578125" style="836"/>
    <col min="14" max="15" width="13.28515625" style="836" customWidth="1"/>
    <col min="16" max="16384" width="10.42578125" style="836"/>
  </cols>
  <sheetData>
    <row r="1" spans="1:7" s="835" customFormat="1" ht="14.25">
      <c r="A1" s="835" t="s">
        <v>914</v>
      </c>
    </row>
    <row r="3" spans="1:7">
      <c r="A3" s="614">
        <v>20</v>
      </c>
      <c r="B3" s="836" t="s">
        <v>915</v>
      </c>
    </row>
    <row r="4" spans="1:7">
      <c r="A4" s="614">
        <v>16</v>
      </c>
      <c r="B4" s="836" t="s">
        <v>916</v>
      </c>
    </row>
    <row r="5" spans="1:7">
      <c r="A5" s="614">
        <v>20</v>
      </c>
      <c r="B5" s="836" t="s">
        <v>917</v>
      </c>
    </row>
    <row r="6" spans="1:7">
      <c r="A6" s="837">
        <f>((A5/A4)-1)/0.00393</f>
        <v>63.613231552162844</v>
      </c>
      <c r="B6" s="835" t="s">
        <v>918</v>
      </c>
      <c r="C6" s="835"/>
      <c r="D6" s="835"/>
      <c r="E6" s="835"/>
      <c r="F6" s="835"/>
      <c r="G6" s="835"/>
    </row>
    <row r="7" spans="1:7">
      <c r="A7" s="837">
        <f>((A5/A4)-1)/0.00429</f>
        <v>58.275058275058271</v>
      </c>
      <c r="B7" s="835" t="s">
        <v>919</v>
      </c>
      <c r="C7" s="835"/>
      <c r="D7" s="835"/>
      <c r="E7" s="835"/>
      <c r="F7" s="835"/>
      <c r="G7" s="835"/>
    </row>
    <row r="9" spans="1:7">
      <c r="A9" s="835" t="s">
        <v>920</v>
      </c>
    </row>
    <row r="11" spans="1:7">
      <c r="A11" s="1319" t="s">
        <v>908</v>
      </c>
      <c r="B11" s="1320"/>
    </row>
    <row r="12" spans="1:7">
      <c r="A12" s="615">
        <v>37</v>
      </c>
      <c r="B12" s="838">
        <f>(A12*(9/5))+32</f>
        <v>98.600000000000009</v>
      </c>
    </row>
    <row r="13" spans="1:7">
      <c r="A13" s="839"/>
      <c r="B13" s="166"/>
    </row>
    <row r="14" spans="1:7">
      <c r="A14" s="1319" t="s">
        <v>909</v>
      </c>
      <c r="B14" s="1320"/>
    </row>
    <row r="15" spans="1:7">
      <c r="A15" s="615">
        <v>98.6</v>
      </c>
      <c r="B15" s="838">
        <f>(A15-32)*(5/9)</f>
        <v>37</v>
      </c>
    </row>
    <row r="17" spans="1:1">
      <c r="A17" s="834" t="s">
        <v>666</v>
      </c>
    </row>
    <row r="18" spans="1:1">
      <c r="A18" s="293" t="s">
        <v>762</v>
      </c>
    </row>
    <row r="19" spans="1:1">
      <c r="A19" s="293" t="s">
        <v>763</v>
      </c>
    </row>
    <row r="20" spans="1:1">
      <c r="A20" s="834" t="s">
        <v>788</v>
      </c>
    </row>
    <row r="21" spans="1:1">
      <c r="A21" s="834" t="s">
        <v>3</v>
      </c>
    </row>
  </sheetData>
  <sheetProtection algorithmName="SHA-512" hashValue="TCG3JEgFIuxiG8LUIRuTaks+SkwOUizNdWeQFxnNN1045CygiSLJULoQlBQnJthCRNCmjwi2ByZimxW3xvYxbw==" saltValue="sGLn5Fx7/I2ynN1iWvLluw==" spinCount="100000" sheet="1" objects="1" scenarios="1"/>
  <mergeCells count="2">
    <mergeCell ref="A11:B11"/>
    <mergeCell ref="A14:B14"/>
  </mergeCells>
  <pageMargins left="0.7" right="0.7" top="0.75" bottom="0.75" header="0.3" footer="0.3"/>
  <pageSetup orientation="landscape" horizontalDpi="1200" verticalDpi="12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7030A0"/>
  </sheetPr>
  <dimension ref="A1:Z63"/>
  <sheetViews>
    <sheetView workbookViewId="0">
      <selection activeCell="E13" sqref="E13"/>
    </sheetView>
  </sheetViews>
  <sheetFormatPr defaultRowHeight="12.75"/>
  <cols>
    <col min="1" max="26" width="8.7109375" customWidth="1"/>
  </cols>
  <sheetData>
    <row r="1" spans="1:26">
      <c r="A1" s="1245" t="s">
        <v>1083</v>
      </c>
      <c r="B1" s="1245"/>
      <c r="C1" s="1245"/>
      <c r="D1" s="1245"/>
      <c r="E1" s="1245"/>
      <c r="F1" s="1245"/>
      <c r="G1" s="1245"/>
      <c r="H1" s="1245"/>
      <c r="J1" s="1245" t="s">
        <v>1084</v>
      </c>
      <c r="K1" s="1245"/>
      <c r="L1" s="1245"/>
      <c r="M1" s="1245"/>
      <c r="N1" s="1245"/>
      <c r="O1" s="1245"/>
      <c r="P1" s="1245"/>
      <c r="Q1" s="1245"/>
      <c r="S1" s="1245" t="s">
        <v>1085</v>
      </c>
      <c r="T1" s="1245"/>
      <c r="U1" s="1245"/>
      <c r="V1" s="1245"/>
      <c r="W1" s="1245"/>
      <c r="X1" s="1245"/>
      <c r="Y1" s="1245"/>
      <c r="Z1" s="1245"/>
    </row>
    <row r="2" spans="1:26">
      <c r="A2" s="965"/>
      <c r="B2" s="1249" t="s">
        <v>10</v>
      </c>
      <c r="C2" s="1249"/>
      <c r="D2" s="1249"/>
      <c r="E2" s="1250" t="s">
        <v>11</v>
      </c>
      <c r="F2" s="1250"/>
      <c r="G2" s="1250"/>
      <c r="H2" s="902"/>
      <c r="J2" s="965"/>
      <c r="K2" s="1249" t="s">
        <v>10</v>
      </c>
      <c r="L2" s="1249"/>
      <c r="M2" s="1249"/>
      <c r="N2" s="1250" t="s">
        <v>11</v>
      </c>
      <c r="O2" s="1250"/>
      <c r="P2" s="1250"/>
      <c r="Q2" s="902"/>
      <c r="S2" s="965"/>
      <c r="T2" s="1249" t="s">
        <v>10</v>
      </c>
      <c r="U2" s="1249"/>
      <c r="V2" s="1249"/>
      <c r="W2" s="1250" t="s">
        <v>11</v>
      </c>
      <c r="X2" s="1250"/>
      <c r="Y2" s="1250"/>
      <c r="Z2" s="902"/>
    </row>
    <row r="3" spans="1:26">
      <c r="A3" s="965" t="s">
        <v>4</v>
      </c>
      <c r="B3" s="966" t="s">
        <v>636</v>
      </c>
      <c r="C3" s="966" t="s">
        <v>637</v>
      </c>
      <c r="D3" s="966" t="s">
        <v>643</v>
      </c>
      <c r="E3" s="967" t="s">
        <v>636</v>
      </c>
      <c r="F3" s="967" t="s">
        <v>637</v>
      </c>
      <c r="G3" s="967" t="s">
        <v>643</v>
      </c>
      <c r="H3" s="965" t="s">
        <v>4</v>
      </c>
      <c r="J3" s="965" t="s">
        <v>4</v>
      </c>
      <c r="K3" s="966" t="s">
        <v>636</v>
      </c>
      <c r="L3" s="966" t="s">
        <v>637</v>
      </c>
      <c r="M3" s="966" t="s">
        <v>643</v>
      </c>
      <c r="N3" s="967" t="s">
        <v>636</v>
      </c>
      <c r="O3" s="967" t="s">
        <v>637</v>
      </c>
      <c r="P3" s="967" t="s">
        <v>643</v>
      </c>
      <c r="Q3" s="965" t="s">
        <v>4</v>
      </c>
      <c r="S3" s="965" t="s">
        <v>4</v>
      </c>
      <c r="T3" s="966" t="s">
        <v>636</v>
      </c>
      <c r="U3" s="966" t="s">
        <v>637</v>
      </c>
      <c r="V3" s="966" t="s">
        <v>643</v>
      </c>
      <c r="W3" s="967" t="s">
        <v>636</v>
      </c>
      <c r="X3" s="967" t="s">
        <v>637</v>
      </c>
      <c r="Y3" s="967" t="s">
        <v>643</v>
      </c>
      <c r="Z3" s="965" t="s">
        <v>4</v>
      </c>
    </row>
    <row r="4" spans="1:26">
      <c r="A4" s="968">
        <v>14</v>
      </c>
      <c r="B4" s="995">
        <f t="shared" ref="B4:B31" si="0">(T36*120)/1000</f>
        <v>1.8</v>
      </c>
      <c r="C4" s="995">
        <f t="shared" ref="C4:C31" si="1">(U36*120)/1000</f>
        <v>2.4</v>
      </c>
      <c r="D4" s="995">
        <f t="shared" ref="D4:D31" si="2">(V36*120)/1000</f>
        <v>3</v>
      </c>
      <c r="E4" s="997" t="s">
        <v>475</v>
      </c>
      <c r="F4" s="997" t="s">
        <v>475</v>
      </c>
      <c r="G4" s="997" t="s">
        <v>475</v>
      </c>
      <c r="H4" s="968">
        <v>14</v>
      </c>
      <c r="J4" s="968">
        <v>14</v>
      </c>
      <c r="K4" s="995">
        <f t="shared" ref="K4:K31" si="3">(T36*240)/1000</f>
        <v>3.6</v>
      </c>
      <c r="L4" s="995">
        <f t="shared" ref="L4:L31" si="4">(U36*240)/1000</f>
        <v>4.8</v>
      </c>
      <c r="M4" s="995">
        <f t="shared" ref="M4:M31" si="5">(V36*240)/1000</f>
        <v>6</v>
      </c>
      <c r="N4" s="997" t="s">
        <v>475</v>
      </c>
      <c r="O4" s="997" t="s">
        <v>475</v>
      </c>
      <c r="P4" s="997" t="s">
        <v>475</v>
      </c>
      <c r="Q4" s="968">
        <v>14</v>
      </c>
      <c r="S4" s="968">
        <v>14</v>
      </c>
      <c r="T4" s="995">
        <f t="shared" ref="T4:V31" si="6">(T36*480)/1000</f>
        <v>7.2</v>
      </c>
      <c r="U4" s="995">
        <f t="shared" si="6"/>
        <v>9.6</v>
      </c>
      <c r="V4" s="995">
        <f t="shared" si="6"/>
        <v>12</v>
      </c>
      <c r="W4" s="997" t="s">
        <v>475</v>
      </c>
      <c r="X4" s="997" t="s">
        <v>475</v>
      </c>
      <c r="Y4" s="997" t="s">
        <v>475</v>
      </c>
      <c r="Z4" s="968">
        <v>14</v>
      </c>
    </row>
    <row r="5" spans="1:26">
      <c r="A5" s="968">
        <v>12</v>
      </c>
      <c r="B5" s="995">
        <f t="shared" si="0"/>
        <v>2.4</v>
      </c>
      <c r="C5" s="995">
        <f t="shared" si="1"/>
        <v>3</v>
      </c>
      <c r="D5" s="995">
        <f t="shared" si="2"/>
        <v>3.6</v>
      </c>
      <c r="E5" s="996">
        <f t="shared" ref="E5:E31" si="7">(W37*120)/1000</f>
        <v>1.8</v>
      </c>
      <c r="F5" s="996">
        <f t="shared" ref="F5:F31" si="8">(X37*120)/1000</f>
        <v>2.4</v>
      </c>
      <c r="G5" s="996">
        <f t="shared" ref="G5:G31" si="9">(Y37*120)/1000</f>
        <v>3</v>
      </c>
      <c r="H5" s="968">
        <v>12</v>
      </c>
      <c r="J5" s="968">
        <v>12</v>
      </c>
      <c r="K5" s="995">
        <f t="shared" si="3"/>
        <v>4.8</v>
      </c>
      <c r="L5" s="995">
        <f t="shared" si="4"/>
        <v>6</v>
      </c>
      <c r="M5" s="995">
        <f t="shared" si="5"/>
        <v>7.2</v>
      </c>
      <c r="N5" s="996">
        <f t="shared" ref="N5:N31" si="10">(W37*240)/1000</f>
        <v>3.6</v>
      </c>
      <c r="O5" s="996">
        <f t="shared" ref="O5:O31" si="11">(X37*240)/1000</f>
        <v>4.8</v>
      </c>
      <c r="P5" s="996">
        <f t="shared" ref="P5:P31" si="12">(Y37*240)/1000</f>
        <v>6</v>
      </c>
      <c r="Q5" s="968">
        <v>12</v>
      </c>
      <c r="S5" s="968">
        <v>12</v>
      </c>
      <c r="T5" s="995">
        <f t="shared" si="6"/>
        <v>9.6</v>
      </c>
      <c r="U5" s="995">
        <f t="shared" si="6"/>
        <v>12</v>
      </c>
      <c r="V5" s="995">
        <f t="shared" si="6"/>
        <v>14.4</v>
      </c>
      <c r="W5" s="996">
        <f t="shared" ref="W5:Y31" si="13">(W37*480)/1000</f>
        <v>7.2</v>
      </c>
      <c r="X5" s="996">
        <f t="shared" si="13"/>
        <v>9.6</v>
      </c>
      <c r="Y5" s="996">
        <f t="shared" si="13"/>
        <v>12</v>
      </c>
      <c r="Z5" s="968">
        <v>12</v>
      </c>
    </row>
    <row r="6" spans="1:26">
      <c r="A6" s="968">
        <v>10</v>
      </c>
      <c r="B6" s="995">
        <f t="shared" si="0"/>
        <v>3.6</v>
      </c>
      <c r="C6" s="995">
        <f t="shared" si="1"/>
        <v>4.2</v>
      </c>
      <c r="D6" s="995">
        <f t="shared" si="2"/>
        <v>4.8</v>
      </c>
      <c r="E6" s="996">
        <f t="shared" si="7"/>
        <v>3</v>
      </c>
      <c r="F6" s="996">
        <f t="shared" si="8"/>
        <v>3.6</v>
      </c>
      <c r="G6" s="996">
        <f t="shared" si="9"/>
        <v>4.2</v>
      </c>
      <c r="H6" s="968">
        <v>10</v>
      </c>
      <c r="J6" s="968">
        <v>10</v>
      </c>
      <c r="K6" s="995">
        <f t="shared" si="3"/>
        <v>7.2</v>
      </c>
      <c r="L6" s="995">
        <f t="shared" si="4"/>
        <v>8.4</v>
      </c>
      <c r="M6" s="995">
        <f t="shared" si="5"/>
        <v>9.6</v>
      </c>
      <c r="N6" s="996">
        <f t="shared" si="10"/>
        <v>6</v>
      </c>
      <c r="O6" s="996">
        <f t="shared" si="11"/>
        <v>7.2</v>
      </c>
      <c r="P6" s="996">
        <f t="shared" si="12"/>
        <v>8.4</v>
      </c>
      <c r="Q6" s="968">
        <v>10</v>
      </c>
      <c r="S6" s="968">
        <v>10</v>
      </c>
      <c r="T6" s="995">
        <f t="shared" si="6"/>
        <v>14.4</v>
      </c>
      <c r="U6" s="995">
        <f t="shared" si="6"/>
        <v>16.8</v>
      </c>
      <c r="V6" s="995">
        <f t="shared" si="6"/>
        <v>19.2</v>
      </c>
      <c r="W6" s="996">
        <f t="shared" si="13"/>
        <v>12</v>
      </c>
      <c r="X6" s="996">
        <f t="shared" si="13"/>
        <v>14.4</v>
      </c>
      <c r="Y6" s="996">
        <f t="shared" si="13"/>
        <v>16.8</v>
      </c>
      <c r="Z6" s="968">
        <v>10</v>
      </c>
    </row>
    <row r="7" spans="1:26">
      <c r="A7" s="968">
        <v>8</v>
      </c>
      <c r="B7" s="995">
        <f t="shared" si="0"/>
        <v>4.8</v>
      </c>
      <c r="C7" s="995">
        <f t="shared" si="1"/>
        <v>6</v>
      </c>
      <c r="D7" s="995">
        <f t="shared" si="2"/>
        <v>6.6</v>
      </c>
      <c r="E7" s="996">
        <f t="shared" si="7"/>
        <v>4.2</v>
      </c>
      <c r="F7" s="996">
        <f t="shared" si="8"/>
        <v>4.8</v>
      </c>
      <c r="G7" s="996">
        <f t="shared" si="9"/>
        <v>5.4</v>
      </c>
      <c r="H7" s="968">
        <v>8</v>
      </c>
      <c r="J7" s="968">
        <v>8</v>
      </c>
      <c r="K7" s="995">
        <f t="shared" si="3"/>
        <v>9.6</v>
      </c>
      <c r="L7" s="995">
        <f t="shared" si="4"/>
        <v>12</v>
      </c>
      <c r="M7" s="995">
        <f t="shared" si="5"/>
        <v>13.2</v>
      </c>
      <c r="N7" s="996">
        <f t="shared" si="10"/>
        <v>8.4</v>
      </c>
      <c r="O7" s="996">
        <f t="shared" si="11"/>
        <v>9.6</v>
      </c>
      <c r="P7" s="996">
        <f t="shared" si="12"/>
        <v>10.8</v>
      </c>
      <c r="Q7" s="968">
        <v>8</v>
      </c>
      <c r="S7" s="968">
        <v>8</v>
      </c>
      <c r="T7" s="995">
        <f t="shared" si="6"/>
        <v>19.2</v>
      </c>
      <c r="U7" s="995">
        <f t="shared" si="6"/>
        <v>24</v>
      </c>
      <c r="V7" s="995">
        <f t="shared" si="6"/>
        <v>26.4</v>
      </c>
      <c r="W7" s="996">
        <f t="shared" si="13"/>
        <v>16.8</v>
      </c>
      <c r="X7" s="996">
        <f t="shared" si="13"/>
        <v>19.2</v>
      </c>
      <c r="Y7" s="996">
        <f t="shared" si="13"/>
        <v>21.6</v>
      </c>
      <c r="Z7" s="968">
        <v>8</v>
      </c>
    </row>
    <row r="8" spans="1:26">
      <c r="A8" s="968">
        <v>6</v>
      </c>
      <c r="B8" s="995">
        <f t="shared" si="0"/>
        <v>6.6</v>
      </c>
      <c r="C8" s="995">
        <f t="shared" si="1"/>
        <v>7.8</v>
      </c>
      <c r="D8" s="995">
        <f t="shared" si="2"/>
        <v>9</v>
      </c>
      <c r="E8" s="996">
        <f t="shared" si="7"/>
        <v>4.8</v>
      </c>
      <c r="F8" s="996">
        <f t="shared" si="8"/>
        <v>6</v>
      </c>
      <c r="G8" s="996">
        <f t="shared" si="9"/>
        <v>6.6</v>
      </c>
      <c r="H8" s="968">
        <v>6</v>
      </c>
      <c r="J8" s="968">
        <v>6</v>
      </c>
      <c r="K8" s="995">
        <f t="shared" si="3"/>
        <v>13.2</v>
      </c>
      <c r="L8" s="995">
        <f t="shared" si="4"/>
        <v>15.6</v>
      </c>
      <c r="M8" s="995">
        <f t="shared" si="5"/>
        <v>18</v>
      </c>
      <c r="N8" s="996">
        <f t="shared" si="10"/>
        <v>9.6</v>
      </c>
      <c r="O8" s="996">
        <f t="shared" si="11"/>
        <v>12</v>
      </c>
      <c r="P8" s="996">
        <f t="shared" si="12"/>
        <v>13.2</v>
      </c>
      <c r="Q8" s="968">
        <v>6</v>
      </c>
      <c r="S8" s="968">
        <v>6</v>
      </c>
      <c r="T8" s="995">
        <f t="shared" si="6"/>
        <v>26.4</v>
      </c>
      <c r="U8" s="995">
        <f t="shared" si="6"/>
        <v>31.2</v>
      </c>
      <c r="V8" s="995">
        <f t="shared" si="6"/>
        <v>36</v>
      </c>
      <c r="W8" s="996">
        <f t="shared" si="13"/>
        <v>19.2</v>
      </c>
      <c r="X8" s="996">
        <f t="shared" si="13"/>
        <v>24</v>
      </c>
      <c r="Y8" s="996">
        <f t="shared" si="13"/>
        <v>26.4</v>
      </c>
      <c r="Z8" s="968">
        <v>6</v>
      </c>
    </row>
    <row r="9" spans="1:26">
      <c r="A9" s="968">
        <v>4</v>
      </c>
      <c r="B9" s="995">
        <f t="shared" si="0"/>
        <v>8.4</v>
      </c>
      <c r="C9" s="995">
        <f t="shared" si="1"/>
        <v>10.199999999999999</v>
      </c>
      <c r="D9" s="995">
        <f t="shared" si="2"/>
        <v>11.4</v>
      </c>
      <c r="E9" s="996">
        <f t="shared" si="7"/>
        <v>6.6</v>
      </c>
      <c r="F9" s="996">
        <f t="shared" si="8"/>
        <v>7.8</v>
      </c>
      <c r="G9" s="996">
        <f t="shared" si="9"/>
        <v>9</v>
      </c>
      <c r="H9" s="968">
        <v>4</v>
      </c>
      <c r="J9" s="968">
        <v>4</v>
      </c>
      <c r="K9" s="995">
        <f t="shared" si="3"/>
        <v>16.8</v>
      </c>
      <c r="L9" s="995">
        <f t="shared" si="4"/>
        <v>20.399999999999999</v>
      </c>
      <c r="M9" s="995">
        <f t="shared" si="5"/>
        <v>22.8</v>
      </c>
      <c r="N9" s="996">
        <f t="shared" si="10"/>
        <v>13.2</v>
      </c>
      <c r="O9" s="996">
        <f t="shared" si="11"/>
        <v>15.6</v>
      </c>
      <c r="P9" s="996">
        <f t="shared" si="12"/>
        <v>18</v>
      </c>
      <c r="Q9" s="968">
        <v>4</v>
      </c>
      <c r="S9" s="968">
        <v>4</v>
      </c>
      <c r="T9" s="995">
        <f t="shared" si="6"/>
        <v>33.6</v>
      </c>
      <c r="U9" s="995">
        <f t="shared" si="6"/>
        <v>40.799999999999997</v>
      </c>
      <c r="V9" s="995">
        <f t="shared" si="6"/>
        <v>45.6</v>
      </c>
      <c r="W9" s="996">
        <f t="shared" si="13"/>
        <v>26.4</v>
      </c>
      <c r="X9" s="996">
        <f t="shared" si="13"/>
        <v>31.2</v>
      </c>
      <c r="Y9" s="996">
        <f t="shared" si="13"/>
        <v>36</v>
      </c>
      <c r="Z9" s="968">
        <v>4</v>
      </c>
    </row>
    <row r="10" spans="1:26">
      <c r="A10" s="968">
        <v>3</v>
      </c>
      <c r="B10" s="995">
        <f t="shared" si="0"/>
        <v>10.199999999999999</v>
      </c>
      <c r="C10" s="995">
        <f t="shared" si="1"/>
        <v>12</v>
      </c>
      <c r="D10" s="995">
        <f t="shared" si="2"/>
        <v>13.8</v>
      </c>
      <c r="E10" s="996">
        <f t="shared" si="7"/>
        <v>7.8</v>
      </c>
      <c r="F10" s="996">
        <f t="shared" si="8"/>
        <v>9</v>
      </c>
      <c r="G10" s="996">
        <f t="shared" si="9"/>
        <v>10.199999999999999</v>
      </c>
      <c r="H10" s="968">
        <v>3</v>
      </c>
      <c r="J10" s="968">
        <v>3</v>
      </c>
      <c r="K10" s="995">
        <f t="shared" si="3"/>
        <v>20.399999999999999</v>
      </c>
      <c r="L10" s="995">
        <f t="shared" si="4"/>
        <v>24</v>
      </c>
      <c r="M10" s="995">
        <f t="shared" si="5"/>
        <v>27.6</v>
      </c>
      <c r="N10" s="996">
        <f t="shared" si="10"/>
        <v>15.6</v>
      </c>
      <c r="O10" s="996">
        <f t="shared" si="11"/>
        <v>18</v>
      </c>
      <c r="P10" s="996">
        <f t="shared" si="12"/>
        <v>20.399999999999999</v>
      </c>
      <c r="Q10" s="968">
        <v>3</v>
      </c>
      <c r="S10" s="968">
        <v>3</v>
      </c>
      <c r="T10" s="995">
        <f t="shared" si="6"/>
        <v>40.799999999999997</v>
      </c>
      <c r="U10" s="995">
        <f t="shared" si="6"/>
        <v>48</v>
      </c>
      <c r="V10" s="995">
        <f t="shared" si="6"/>
        <v>55.2</v>
      </c>
      <c r="W10" s="996">
        <f t="shared" si="13"/>
        <v>31.2</v>
      </c>
      <c r="X10" s="996">
        <f t="shared" si="13"/>
        <v>36</v>
      </c>
      <c r="Y10" s="996">
        <f t="shared" si="13"/>
        <v>40.799999999999997</v>
      </c>
      <c r="Z10" s="968">
        <v>3</v>
      </c>
    </row>
    <row r="11" spans="1:26">
      <c r="A11" s="968">
        <v>2</v>
      </c>
      <c r="B11" s="995">
        <f t="shared" si="0"/>
        <v>11.4</v>
      </c>
      <c r="C11" s="995">
        <f t="shared" si="1"/>
        <v>13.8</v>
      </c>
      <c r="D11" s="995">
        <f t="shared" si="2"/>
        <v>15.6</v>
      </c>
      <c r="E11" s="996">
        <f t="shared" si="7"/>
        <v>9</v>
      </c>
      <c r="F11" s="996">
        <f t="shared" si="8"/>
        <v>10.8</v>
      </c>
      <c r="G11" s="996">
        <f t="shared" si="9"/>
        <v>12</v>
      </c>
      <c r="H11" s="968">
        <v>2</v>
      </c>
      <c r="J11" s="968">
        <v>2</v>
      </c>
      <c r="K11" s="995">
        <f t="shared" si="3"/>
        <v>22.8</v>
      </c>
      <c r="L11" s="995">
        <f t="shared" si="4"/>
        <v>27.6</v>
      </c>
      <c r="M11" s="995">
        <f t="shared" si="5"/>
        <v>31.2</v>
      </c>
      <c r="N11" s="996">
        <f t="shared" si="10"/>
        <v>18</v>
      </c>
      <c r="O11" s="996">
        <f t="shared" si="11"/>
        <v>21.6</v>
      </c>
      <c r="P11" s="996">
        <f t="shared" si="12"/>
        <v>24</v>
      </c>
      <c r="Q11" s="968">
        <v>2</v>
      </c>
      <c r="S11" s="968">
        <v>2</v>
      </c>
      <c r="T11" s="995">
        <f t="shared" si="6"/>
        <v>45.6</v>
      </c>
      <c r="U11" s="995">
        <f t="shared" si="6"/>
        <v>55.2</v>
      </c>
      <c r="V11" s="995">
        <f t="shared" si="6"/>
        <v>62.4</v>
      </c>
      <c r="W11" s="996">
        <f t="shared" si="13"/>
        <v>36</v>
      </c>
      <c r="X11" s="996">
        <f t="shared" si="13"/>
        <v>43.2</v>
      </c>
      <c r="Y11" s="996">
        <f t="shared" si="13"/>
        <v>48</v>
      </c>
      <c r="Z11" s="968">
        <v>2</v>
      </c>
    </row>
    <row r="12" spans="1:26">
      <c r="A12" s="968">
        <v>1</v>
      </c>
      <c r="B12" s="995">
        <f t="shared" si="0"/>
        <v>13.2</v>
      </c>
      <c r="C12" s="995">
        <f t="shared" si="1"/>
        <v>15.6</v>
      </c>
      <c r="D12" s="995">
        <f t="shared" si="2"/>
        <v>17.399999999999999</v>
      </c>
      <c r="E12" s="996">
        <f t="shared" si="7"/>
        <v>10.199999999999999</v>
      </c>
      <c r="F12" s="996">
        <f t="shared" si="8"/>
        <v>12</v>
      </c>
      <c r="G12" s="996">
        <f t="shared" si="9"/>
        <v>13.8</v>
      </c>
      <c r="H12" s="968">
        <v>1</v>
      </c>
      <c r="J12" s="968">
        <v>1</v>
      </c>
      <c r="K12" s="995">
        <f t="shared" si="3"/>
        <v>26.4</v>
      </c>
      <c r="L12" s="995">
        <f t="shared" si="4"/>
        <v>31.2</v>
      </c>
      <c r="M12" s="995">
        <f t="shared" si="5"/>
        <v>34.799999999999997</v>
      </c>
      <c r="N12" s="996">
        <f t="shared" si="10"/>
        <v>20.399999999999999</v>
      </c>
      <c r="O12" s="996">
        <f t="shared" si="11"/>
        <v>24</v>
      </c>
      <c r="P12" s="996">
        <f t="shared" si="12"/>
        <v>27.6</v>
      </c>
      <c r="Q12" s="968">
        <v>1</v>
      </c>
      <c r="S12" s="968">
        <v>1</v>
      </c>
      <c r="T12" s="995">
        <f t="shared" si="6"/>
        <v>52.8</v>
      </c>
      <c r="U12" s="995">
        <f t="shared" si="6"/>
        <v>62.4</v>
      </c>
      <c r="V12" s="995">
        <f t="shared" si="6"/>
        <v>69.599999999999994</v>
      </c>
      <c r="W12" s="996">
        <f t="shared" si="13"/>
        <v>40.799999999999997</v>
      </c>
      <c r="X12" s="996">
        <f t="shared" si="13"/>
        <v>48</v>
      </c>
      <c r="Y12" s="996">
        <f t="shared" si="13"/>
        <v>55.2</v>
      </c>
      <c r="Z12" s="968">
        <v>1</v>
      </c>
    </row>
    <row r="13" spans="1:26">
      <c r="A13" s="968" t="s">
        <v>18</v>
      </c>
      <c r="B13" s="995">
        <f t="shared" si="0"/>
        <v>15</v>
      </c>
      <c r="C13" s="995">
        <f t="shared" si="1"/>
        <v>18</v>
      </c>
      <c r="D13" s="995">
        <f t="shared" si="2"/>
        <v>20.399999999999999</v>
      </c>
      <c r="E13" s="996">
        <f t="shared" si="7"/>
        <v>12</v>
      </c>
      <c r="F13" s="996">
        <f t="shared" si="8"/>
        <v>14.4</v>
      </c>
      <c r="G13" s="996">
        <f t="shared" si="9"/>
        <v>16.2</v>
      </c>
      <c r="H13" s="968" t="s">
        <v>18</v>
      </c>
      <c r="J13" s="968" t="s">
        <v>18</v>
      </c>
      <c r="K13" s="995">
        <f t="shared" si="3"/>
        <v>30</v>
      </c>
      <c r="L13" s="995">
        <f t="shared" si="4"/>
        <v>36</v>
      </c>
      <c r="M13" s="995">
        <f t="shared" si="5"/>
        <v>40.799999999999997</v>
      </c>
      <c r="N13" s="996">
        <f t="shared" si="10"/>
        <v>24</v>
      </c>
      <c r="O13" s="996">
        <f t="shared" si="11"/>
        <v>28.8</v>
      </c>
      <c r="P13" s="996">
        <f t="shared" si="12"/>
        <v>32.4</v>
      </c>
      <c r="Q13" s="968" t="s">
        <v>18</v>
      </c>
      <c r="S13" s="968" t="s">
        <v>18</v>
      </c>
      <c r="T13" s="995">
        <f t="shared" si="6"/>
        <v>60</v>
      </c>
      <c r="U13" s="995">
        <f t="shared" si="6"/>
        <v>72</v>
      </c>
      <c r="V13" s="995">
        <f t="shared" si="6"/>
        <v>81.599999999999994</v>
      </c>
      <c r="W13" s="996">
        <f t="shared" si="13"/>
        <v>48</v>
      </c>
      <c r="X13" s="996">
        <f t="shared" si="13"/>
        <v>57.6</v>
      </c>
      <c r="Y13" s="996">
        <f t="shared" si="13"/>
        <v>64.8</v>
      </c>
      <c r="Z13" s="968" t="s">
        <v>18</v>
      </c>
    </row>
    <row r="14" spans="1:26">
      <c r="A14" s="968" t="s">
        <v>20</v>
      </c>
      <c r="B14" s="995">
        <f t="shared" si="0"/>
        <v>17.399999999999999</v>
      </c>
      <c r="C14" s="995">
        <f t="shared" si="1"/>
        <v>21</v>
      </c>
      <c r="D14" s="995">
        <f t="shared" si="2"/>
        <v>23.4</v>
      </c>
      <c r="E14" s="996">
        <f t="shared" si="7"/>
        <v>13.8</v>
      </c>
      <c r="F14" s="996">
        <f t="shared" si="8"/>
        <v>16.2</v>
      </c>
      <c r="G14" s="996">
        <f t="shared" si="9"/>
        <v>18</v>
      </c>
      <c r="H14" s="968" t="s">
        <v>20</v>
      </c>
      <c r="J14" s="968" t="s">
        <v>20</v>
      </c>
      <c r="K14" s="995">
        <f t="shared" si="3"/>
        <v>34.799999999999997</v>
      </c>
      <c r="L14" s="995">
        <f t="shared" si="4"/>
        <v>42</v>
      </c>
      <c r="M14" s="995">
        <f t="shared" si="5"/>
        <v>46.8</v>
      </c>
      <c r="N14" s="996">
        <f t="shared" si="10"/>
        <v>27.6</v>
      </c>
      <c r="O14" s="996">
        <f t="shared" si="11"/>
        <v>32.4</v>
      </c>
      <c r="P14" s="996">
        <f t="shared" si="12"/>
        <v>36</v>
      </c>
      <c r="Q14" s="968" t="s">
        <v>20</v>
      </c>
      <c r="S14" s="968" t="s">
        <v>20</v>
      </c>
      <c r="T14" s="995">
        <f t="shared" si="6"/>
        <v>69.599999999999994</v>
      </c>
      <c r="U14" s="995">
        <f t="shared" si="6"/>
        <v>84</v>
      </c>
      <c r="V14" s="995">
        <f t="shared" si="6"/>
        <v>93.6</v>
      </c>
      <c r="W14" s="996">
        <f t="shared" si="13"/>
        <v>55.2</v>
      </c>
      <c r="X14" s="996">
        <f t="shared" si="13"/>
        <v>64.8</v>
      </c>
      <c r="Y14" s="996">
        <f t="shared" si="13"/>
        <v>72</v>
      </c>
      <c r="Z14" s="968" t="s">
        <v>20</v>
      </c>
    </row>
    <row r="15" spans="1:26">
      <c r="A15" s="968" t="s">
        <v>22</v>
      </c>
      <c r="B15" s="995">
        <f t="shared" si="0"/>
        <v>19.8</v>
      </c>
      <c r="C15" s="995">
        <f t="shared" si="1"/>
        <v>24</v>
      </c>
      <c r="D15" s="995">
        <f t="shared" si="2"/>
        <v>27</v>
      </c>
      <c r="E15" s="996">
        <f t="shared" si="7"/>
        <v>15.6</v>
      </c>
      <c r="F15" s="996">
        <f t="shared" si="8"/>
        <v>18.600000000000001</v>
      </c>
      <c r="G15" s="996">
        <f t="shared" si="9"/>
        <v>21</v>
      </c>
      <c r="H15" s="968" t="s">
        <v>22</v>
      </c>
      <c r="J15" s="968" t="s">
        <v>22</v>
      </c>
      <c r="K15" s="995">
        <f t="shared" si="3"/>
        <v>39.6</v>
      </c>
      <c r="L15" s="995">
        <f t="shared" si="4"/>
        <v>48</v>
      </c>
      <c r="M15" s="995">
        <f t="shared" si="5"/>
        <v>54</v>
      </c>
      <c r="N15" s="996">
        <f t="shared" si="10"/>
        <v>31.2</v>
      </c>
      <c r="O15" s="996">
        <f t="shared" si="11"/>
        <v>37.200000000000003</v>
      </c>
      <c r="P15" s="996">
        <f t="shared" si="12"/>
        <v>42</v>
      </c>
      <c r="Q15" s="968" t="s">
        <v>22</v>
      </c>
      <c r="S15" s="968" t="s">
        <v>22</v>
      </c>
      <c r="T15" s="995">
        <f t="shared" si="6"/>
        <v>79.2</v>
      </c>
      <c r="U15" s="995">
        <f t="shared" si="6"/>
        <v>96</v>
      </c>
      <c r="V15" s="995">
        <f t="shared" si="6"/>
        <v>108</v>
      </c>
      <c r="W15" s="996">
        <f t="shared" si="13"/>
        <v>62.4</v>
      </c>
      <c r="X15" s="996">
        <f t="shared" si="13"/>
        <v>74.400000000000006</v>
      </c>
      <c r="Y15" s="996">
        <f t="shared" si="13"/>
        <v>84</v>
      </c>
      <c r="Z15" s="968" t="s">
        <v>22</v>
      </c>
    </row>
    <row r="16" spans="1:26">
      <c r="A16" s="968" t="s">
        <v>23</v>
      </c>
      <c r="B16" s="995">
        <f t="shared" si="0"/>
        <v>23.4</v>
      </c>
      <c r="C16" s="995">
        <f t="shared" si="1"/>
        <v>27.6</v>
      </c>
      <c r="D16" s="995">
        <f t="shared" si="2"/>
        <v>31.2</v>
      </c>
      <c r="E16" s="996">
        <f t="shared" si="7"/>
        <v>18</v>
      </c>
      <c r="F16" s="996">
        <f t="shared" si="8"/>
        <v>21.6</v>
      </c>
      <c r="G16" s="996">
        <f t="shared" si="9"/>
        <v>24.6</v>
      </c>
      <c r="H16" s="968" t="s">
        <v>23</v>
      </c>
      <c r="J16" s="968" t="s">
        <v>23</v>
      </c>
      <c r="K16" s="995">
        <f t="shared" si="3"/>
        <v>46.8</v>
      </c>
      <c r="L16" s="995">
        <f t="shared" si="4"/>
        <v>55.2</v>
      </c>
      <c r="M16" s="995">
        <f t="shared" si="5"/>
        <v>62.4</v>
      </c>
      <c r="N16" s="996">
        <f t="shared" si="10"/>
        <v>36</v>
      </c>
      <c r="O16" s="996">
        <f t="shared" si="11"/>
        <v>43.2</v>
      </c>
      <c r="P16" s="996">
        <f t="shared" si="12"/>
        <v>49.2</v>
      </c>
      <c r="Q16" s="968" t="s">
        <v>23</v>
      </c>
      <c r="S16" s="968" t="s">
        <v>23</v>
      </c>
      <c r="T16" s="995">
        <f t="shared" si="6"/>
        <v>93.6</v>
      </c>
      <c r="U16" s="995">
        <f t="shared" si="6"/>
        <v>110.4</v>
      </c>
      <c r="V16" s="995">
        <f t="shared" si="6"/>
        <v>124.8</v>
      </c>
      <c r="W16" s="996">
        <f t="shared" si="13"/>
        <v>72</v>
      </c>
      <c r="X16" s="996">
        <f t="shared" si="13"/>
        <v>86.4</v>
      </c>
      <c r="Y16" s="996">
        <f t="shared" si="13"/>
        <v>98.4</v>
      </c>
      <c r="Z16" s="968" t="s">
        <v>23</v>
      </c>
    </row>
    <row r="17" spans="1:26">
      <c r="A17" s="968">
        <v>250</v>
      </c>
      <c r="B17" s="995">
        <f t="shared" si="0"/>
        <v>25.8</v>
      </c>
      <c r="C17" s="995">
        <f t="shared" si="1"/>
        <v>30.6</v>
      </c>
      <c r="D17" s="995">
        <f t="shared" si="2"/>
        <v>34.799999999999997</v>
      </c>
      <c r="E17" s="996">
        <f t="shared" si="7"/>
        <v>20.399999999999999</v>
      </c>
      <c r="F17" s="996">
        <f t="shared" si="8"/>
        <v>24.6</v>
      </c>
      <c r="G17" s="996">
        <f t="shared" si="9"/>
        <v>27.6</v>
      </c>
      <c r="H17" s="968">
        <v>250</v>
      </c>
      <c r="J17" s="968">
        <v>250</v>
      </c>
      <c r="K17" s="995">
        <f t="shared" si="3"/>
        <v>51.6</v>
      </c>
      <c r="L17" s="995">
        <f t="shared" si="4"/>
        <v>61.2</v>
      </c>
      <c r="M17" s="995">
        <f t="shared" si="5"/>
        <v>69.599999999999994</v>
      </c>
      <c r="N17" s="996">
        <f t="shared" si="10"/>
        <v>40.799999999999997</v>
      </c>
      <c r="O17" s="996">
        <f t="shared" si="11"/>
        <v>49.2</v>
      </c>
      <c r="P17" s="996">
        <f t="shared" si="12"/>
        <v>55.2</v>
      </c>
      <c r="Q17" s="968">
        <v>250</v>
      </c>
      <c r="S17" s="968">
        <v>250</v>
      </c>
      <c r="T17" s="995">
        <f t="shared" si="6"/>
        <v>103.2</v>
      </c>
      <c r="U17" s="995">
        <f t="shared" si="6"/>
        <v>122.4</v>
      </c>
      <c r="V17" s="995">
        <f t="shared" si="6"/>
        <v>139.19999999999999</v>
      </c>
      <c r="W17" s="996">
        <f t="shared" si="13"/>
        <v>81.599999999999994</v>
      </c>
      <c r="X17" s="996">
        <f t="shared" si="13"/>
        <v>98.4</v>
      </c>
      <c r="Y17" s="996">
        <f t="shared" si="13"/>
        <v>110.4</v>
      </c>
      <c r="Z17" s="968">
        <v>250</v>
      </c>
    </row>
    <row r="18" spans="1:26">
      <c r="A18" s="968">
        <v>300</v>
      </c>
      <c r="B18" s="995">
        <f t="shared" si="0"/>
        <v>28.8</v>
      </c>
      <c r="C18" s="995">
        <f t="shared" si="1"/>
        <v>34.200000000000003</v>
      </c>
      <c r="D18" s="995">
        <f t="shared" si="2"/>
        <v>38.4</v>
      </c>
      <c r="E18" s="996">
        <f t="shared" si="7"/>
        <v>23.4</v>
      </c>
      <c r="F18" s="996">
        <f t="shared" si="8"/>
        <v>27.6</v>
      </c>
      <c r="G18" s="996">
        <f t="shared" si="9"/>
        <v>31.2</v>
      </c>
      <c r="H18" s="968">
        <v>300</v>
      </c>
      <c r="J18" s="968">
        <v>300</v>
      </c>
      <c r="K18" s="995">
        <f t="shared" si="3"/>
        <v>57.6</v>
      </c>
      <c r="L18" s="995">
        <f t="shared" si="4"/>
        <v>68.400000000000006</v>
      </c>
      <c r="M18" s="995">
        <f t="shared" si="5"/>
        <v>76.8</v>
      </c>
      <c r="N18" s="996">
        <f t="shared" si="10"/>
        <v>46.8</v>
      </c>
      <c r="O18" s="996">
        <f t="shared" si="11"/>
        <v>55.2</v>
      </c>
      <c r="P18" s="996">
        <f t="shared" si="12"/>
        <v>62.4</v>
      </c>
      <c r="Q18" s="968">
        <v>300</v>
      </c>
      <c r="S18" s="968">
        <v>300</v>
      </c>
      <c r="T18" s="995">
        <f t="shared" si="6"/>
        <v>115.2</v>
      </c>
      <c r="U18" s="995">
        <f t="shared" si="6"/>
        <v>136.80000000000001</v>
      </c>
      <c r="V18" s="995">
        <f t="shared" si="6"/>
        <v>153.6</v>
      </c>
      <c r="W18" s="996">
        <f t="shared" si="13"/>
        <v>93.6</v>
      </c>
      <c r="X18" s="996">
        <f t="shared" si="13"/>
        <v>110.4</v>
      </c>
      <c r="Y18" s="996">
        <f t="shared" si="13"/>
        <v>124.8</v>
      </c>
      <c r="Z18" s="968">
        <v>300</v>
      </c>
    </row>
    <row r="19" spans="1:26">
      <c r="A19" s="968">
        <v>350</v>
      </c>
      <c r="B19" s="995">
        <f t="shared" si="0"/>
        <v>31.2</v>
      </c>
      <c r="C19" s="995">
        <f t="shared" si="1"/>
        <v>37.200000000000003</v>
      </c>
      <c r="D19" s="995">
        <f t="shared" si="2"/>
        <v>42</v>
      </c>
      <c r="E19" s="996">
        <f t="shared" si="7"/>
        <v>25.2</v>
      </c>
      <c r="F19" s="996">
        <f t="shared" si="8"/>
        <v>30</v>
      </c>
      <c r="G19" s="996">
        <f t="shared" si="9"/>
        <v>33.6</v>
      </c>
      <c r="H19" s="968">
        <v>350</v>
      </c>
      <c r="J19" s="968">
        <v>350</v>
      </c>
      <c r="K19" s="995">
        <f t="shared" si="3"/>
        <v>62.4</v>
      </c>
      <c r="L19" s="995">
        <f t="shared" si="4"/>
        <v>74.400000000000006</v>
      </c>
      <c r="M19" s="995">
        <f t="shared" si="5"/>
        <v>84</v>
      </c>
      <c r="N19" s="996">
        <f t="shared" si="10"/>
        <v>50.4</v>
      </c>
      <c r="O19" s="996">
        <f t="shared" si="11"/>
        <v>60</v>
      </c>
      <c r="P19" s="996">
        <f t="shared" si="12"/>
        <v>67.2</v>
      </c>
      <c r="Q19" s="968">
        <v>350</v>
      </c>
      <c r="S19" s="968">
        <v>350</v>
      </c>
      <c r="T19" s="995">
        <f t="shared" si="6"/>
        <v>124.8</v>
      </c>
      <c r="U19" s="995">
        <f t="shared" si="6"/>
        <v>148.80000000000001</v>
      </c>
      <c r="V19" s="995">
        <f t="shared" si="6"/>
        <v>168</v>
      </c>
      <c r="W19" s="996">
        <f t="shared" si="13"/>
        <v>100.8</v>
      </c>
      <c r="X19" s="996">
        <f t="shared" si="13"/>
        <v>120</v>
      </c>
      <c r="Y19" s="996">
        <f t="shared" si="13"/>
        <v>134.4</v>
      </c>
      <c r="Z19" s="968">
        <v>350</v>
      </c>
    </row>
    <row r="20" spans="1:26">
      <c r="A20" s="968">
        <v>400</v>
      </c>
      <c r="B20" s="995">
        <f t="shared" si="0"/>
        <v>33.6</v>
      </c>
      <c r="C20" s="995">
        <f t="shared" si="1"/>
        <v>40.200000000000003</v>
      </c>
      <c r="D20" s="995">
        <f t="shared" si="2"/>
        <v>45.6</v>
      </c>
      <c r="E20" s="996">
        <f t="shared" si="7"/>
        <v>27</v>
      </c>
      <c r="F20" s="996">
        <f t="shared" si="8"/>
        <v>32.4</v>
      </c>
      <c r="G20" s="996">
        <f t="shared" si="9"/>
        <v>36.6</v>
      </c>
      <c r="H20" s="968">
        <v>400</v>
      </c>
      <c r="J20" s="968">
        <v>400</v>
      </c>
      <c r="K20" s="995">
        <f t="shared" si="3"/>
        <v>67.2</v>
      </c>
      <c r="L20" s="995">
        <f t="shared" si="4"/>
        <v>80.400000000000006</v>
      </c>
      <c r="M20" s="995">
        <f t="shared" si="5"/>
        <v>91.2</v>
      </c>
      <c r="N20" s="996">
        <f t="shared" si="10"/>
        <v>54</v>
      </c>
      <c r="O20" s="996">
        <f t="shared" si="11"/>
        <v>64.8</v>
      </c>
      <c r="P20" s="996">
        <f t="shared" si="12"/>
        <v>73.2</v>
      </c>
      <c r="Q20" s="968">
        <v>400</v>
      </c>
      <c r="S20" s="968">
        <v>400</v>
      </c>
      <c r="T20" s="995">
        <f t="shared" si="6"/>
        <v>134.4</v>
      </c>
      <c r="U20" s="995">
        <f t="shared" si="6"/>
        <v>160.80000000000001</v>
      </c>
      <c r="V20" s="995">
        <f t="shared" si="6"/>
        <v>182.4</v>
      </c>
      <c r="W20" s="996">
        <f t="shared" si="13"/>
        <v>108</v>
      </c>
      <c r="X20" s="996">
        <f t="shared" si="13"/>
        <v>129.6</v>
      </c>
      <c r="Y20" s="996">
        <f t="shared" si="13"/>
        <v>146.4</v>
      </c>
      <c r="Z20" s="968">
        <v>400</v>
      </c>
    </row>
    <row r="21" spans="1:26">
      <c r="A21" s="968">
        <v>500</v>
      </c>
      <c r="B21" s="995">
        <f t="shared" si="0"/>
        <v>38.4</v>
      </c>
      <c r="C21" s="995">
        <f t="shared" si="1"/>
        <v>45.6</v>
      </c>
      <c r="D21" s="995">
        <f t="shared" si="2"/>
        <v>51.6</v>
      </c>
      <c r="E21" s="996">
        <f t="shared" si="7"/>
        <v>31.2</v>
      </c>
      <c r="F21" s="996">
        <f t="shared" si="8"/>
        <v>37.200000000000003</v>
      </c>
      <c r="G21" s="996">
        <f t="shared" si="9"/>
        <v>42</v>
      </c>
      <c r="H21" s="968">
        <v>500</v>
      </c>
      <c r="J21" s="968">
        <v>500</v>
      </c>
      <c r="K21" s="995">
        <f t="shared" si="3"/>
        <v>76.8</v>
      </c>
      <c r="L21" s="995">
        <f t="shared" si="4"/>
        <v>91.2</v>
      </c>
      <c r="M21" s="995">
        <f t="shared" si="5"/>
        <v>103.2</v>
      </c>
      <c r="N21" s="996">
        <f t="shared" si="10"/>
        <v>62.4</v>
      </c>
      <c r="O21" s="996">
        <f t="shared" si="11"/>
        <v>74.400000000000006</v>
      </c>
      <c r="P21" s="996">
        <f t="shared" si="12"/>
        <v>84</v>
      </c>
      <c r="Q21" s="968">
        <v>500</v>
      </c>
      <c r="S21" s="968">
        <v>500</v>
      </c>
      <c r="T21" s="995">
        <f t="shared" si="6"/>
        <v>153.6</v>
      </c>
      <c r="U21" s="995">
        <f t="shared" si="6"/>
        <v>182.4</v>
      </c>
      <c r="V21" s="995">
        <f t="shared" si="6"/>
        <v>206.4</v>
      </c>
      <c r="W21" s="996">
        <f t="shared" si="13"/>
        <v>124.8</v>
      </c>
      <c r="X21" s="996">
        <f t="shared" si="13"/>
        <v>148.80000000000001</v>
      </c>
      <c r="Y21" s="996">
        <f t="shared" si="13"/>
        <v>168</v>
      </c>
      <c r="Z21" s="968">
        <v>500</v>
      </c>
    </row>
    <row r="22" spans="1:26">
      <c r="A22" s="968">
        <v>600</v>
      </c>
      <c r="B22" s="995">
        <f t="shared" si="0"/>
        <v>42</v>
      </c>
      <c r="C22" s="995">
        <f t="shared" si="1"/>
        <v>50.4</v>
      </c>
      <c r="D22" s="995">
        <f t="shared" si="2"/>
        <v>57</v>
      </c>
      <c r="E22" s="996">
        <f t="shared" si="7"/>
        <v>34.200000000000003</v>
      </c>
      <c r="F22" s="996">
        <f t="shared" si="8"/>
        <v>40.799999999999997</v>
      </c>
      <c r="G22" s="996">
        <f t="shared" si="9"/>
        <v>46.2</v>
      </c>
      <c r="H22" s="968">
        <v>600</v>
      </c>
      <c r="J22" s="968">
        <v>600</v>
      </c>
      <c r="K22" s="995">
        <f t="shared" si="3"/>
        <v>84</v>
      </c>
      <c r="L22" s="995">
        <f t="shared" si="4"/>
        <v>100.8</v>
      </c>
      <c r="M22" s="995">
        <f t="shared" si="5"/>
        <v>114</v>
      </c>
      <c r="N22" s="996">
        <f t="shared" si="10"/>
        <v>68.400000000000006</v>
      </c>
      <c r="O22" s="996">
        <f t="shared" si="11"/>
        <v>81.599999999999994</v>
      </c>
      <c r="P22" s="996">
        <f t="shared" si="12"/>
        <v>92.4</v>
      </c>
      <c r="Q22" s="968">
        <v>600</v>
      </c>
      <c r="S22" s="968">
        <v>600</v>
      </c>
      <c r="T22" s="995">
        <f t="shared" si="6"/>
        <v>168</v>
      </c>
      <c r="U22" s="995">
        <f t="shared" si="6"/>
        <v>201.6</v>
      </c>
      <c r="V22" s="995">
        <f t="shared" si="6"/>
        <v>228</v>
      </c>
      <c r="W22" s="996">
        <f t="shared" si="13"/>
        <v>136.80000000000001</v>
      </c>
      <c r="X22" s="996">
        <f t="shared" si="13"/>
        <v>163.19999999999999</v>
      </c>
      <c r="Y22" s="996">
        <f t="shared" si="13"/>
        <v>184.8</v>
      </c>
      <c r="Z22" s="968">
        <v>600</v>
      </c>
    </row>
    <row r="23" spans="1:26">
      <c r="A23" s="968">
        <v>700</v>
      </c>
      <c r="B23" s="995">
        <f t="shared" si="0"/>
        <v>46.2</v>
      </c>
      <c r="C23" s="995">
        <f t="shared" si="1"/>
        <v>55.2</v>
      </c>
      <c r="D23" s="995">
        <f t="shared" si="2"/>
        <v>62.4</v>
      </c>
      <c r="E23" s="996">
        <f t="shared" si="7"/>
        <v>37.799999999999997</v>
      </c>
      <c r="F23" s="996">
        <f t="shared" si="8"/>
        <v>45</v>
      </c>
      <c r="G23" s="996">
        <f t="shared" si="9"/>
        <v>51</v>
      </c>
      <c r="H23" s="968">
        <v>700</v>
      </c>
      <c r="J23" s="968">
        <v>700</v>
      </c>
      <c r="K23" s="995">
        <f t="shared" si="3"/>
        <v>92.4</v>
      </c>
      <c r="L23" s="995">
        <f t="shared" si="4"/>
        <v>110.4</v>
      </c>
      <c r="M23" s="995">
        <f t="shared" si="5"/>
        <v>124.8</v>
      </c>
      <c r="N23" s="996">
        <f t="shared" si="10"/>
        <v>75.599999999999994</v>
      </c>
      <c r="O23" s="996">
        <f t="shared" si="11"/>
        <v>90</v>
      </c>
      <c r="P23" s="996">
        <f t="shared" si="12"/>
        <v>102</v>
      </c>
      <c r="Q23" s="968">
        <v>700</v>
      </c>
      <c r="S23" s="968">
        <v>700</v>
      </c>
      <c r="T23" s="995">
        <f t="shared" si="6"/>
        <v>184.8</v>
      </c>
      <c r="U23" s="995">
        <f t="shared" si="6"/>
        <v>220.8</v>
      </c>
      <c r="V23" s="995">
        <f t="shared" si="6"/>
        <v>249.6</v>
      </c>
      <c r="W23" s="996">
        <f t="shared" si="13"/>
        <v>151.19999999999999</v>
      </c>
      <c r="X23" s="996">
        <f t="shared" si="13"/>
        <v>180</v>
      </c>
      <c r="Y23" s="996">
        <f t="shared" si="13"/>
        <v>204</v>
      </c>
      <c r="Z23" s="968">
        <v>700</v>
      </c>
    </row>
    <row r="24" spans="1:26">
      <c r="A24" s="968">
        <v>750</v>
      </c>
      <c r="B24" s="995">
        <f t="shared" si="0"/>
        <v>48</v>
      </c>
      <c r="C24" s="995">
        <f t="shared" si="1"/>
        <v>57</v>
      </c>
      <c r="D24" s="995">
        <f t="shared" si="2"/>
        <v>64.2</v>
      </c>
      <c r="E24" s="996">
        <f t="shared" si="7"/>
        <v>38.4</v>
      </c>
      <c r="F24" s="996">
        <f t="shared" si="8"/>
        <v>46.2</v>
      </c>
      <c r="G24" s="996">
        <f t="shared" si="9"/>
        <v>52.2</v>
      </c>
      <c r="H24" s="968">
        <v>750</v>
      </c>
      <c r="J24" s="968">
        <v>750</v>
      </c>
      <c r="K24" s="995">
        <f t="shared" si="3"/>
        <v>96</v>
      </c>
      <c r="L24" s="995">
        <f t="shared" si="4"/>
        <v>114</v>
      </c>
      <c r="M24" s="995">
        <f t="shared" si="5"/>
        <v>128.4</v>
      </c>
      <c r="N24" s="996">
        <f t="shared" si="10"/>
        <v>76.8</v>
      </c>
      <c r="O24" s="996">
        <f t="shared" si="11"/>
        <v>92.4</v>
      </c>
      <c r="P24" s="996">
        <f t="shared" si="12"/>
        <v>104.4</v>
      </c>
      <c r="Q24" s="968">
        <v>750</v>
      </c>
      <c r="S24" s="968">
        <v>750</v>
      </c>
      <c r="T24" s="995">
        <f t="shared" si="6"/>
        <v>192</v>
      </c>
      <c r="U24" s="995">
        <f t="shared" si="6"/>
        <v>228</v>
      </c>
      <c r="V24" s="995">
        <f t="shared" si="6"/>
        <v>256.8</v>
      </c>
      <c r="W24" s="996">
        <f t="shared" si="13"/>
        <v>153.6</v>
      </c>
      <c r="X24" s="996">
        <f t="shared" si="13"/>
        <v>184.8</v>
      </c>
      <c r="Y24" s="996">
        <f t="shared" si="13"/>
        <v>208.8</v>
      </c>
      <c r="Z24" s="968">
        <v>750</v>
      </c>
    </row>
    <row r="25" spans="1:26">
      <c r="A25" s="968">
        <v>800</v>
      </c>
      <c r="B25" s="995">
        <f t="shared" si="0"/>
        <v>49.2</v>
      </c>
      <c r="C25" s="995">
        <f t="shared" si="1"/>
        <v>58.8</v>
      </c>
      <c r="D25" s="995">
        <f t="shared" si="2"/>
        <v>66.599999999999994</v>
      </c>
      <c r="E25" s="996">
        <f t="shared" si="7"/>
        <v>39.6</v>
      </c>
      <c r="F25" s="996">
        <f t="shared" si="8"/>
        <v>47.4</v>
      </c>
      <c r="G25" s="996">
        <f t="shared" si="9"/>
        <v>53.4</v>
      </c>
      <c r="H25" s="968">
        <v>800</v>
      </c>
      <c r="J25" s="968">
        <v>800</v>
      </c>
      <c r="K25" s="995">
        <f t="shared" si="3"/>
        <v>98.4</v>
      </c>
      <c r="L25" s="995">
        <f t="shared" si="4"/>
        <v>117.6</v>
      </c>
      <c r="M25" s="995">
        <f t="shared" si="5"/>
        <v>133.19999999999999</v>
      </c>
      <c r="N25" s="996">
        <f t="shared" si="10"/>
        <v>79.2</v>
      </c>
      <c r="O25" s="996">
        <f t="shared" si="11"/>
        <v>94.8</v>
      </c>
      <c r="P25" s="996">
        <f t="shared" si="12"/>
        <v>106.8</v>
      </c>
      <c r="Q25" s="968">
        <v>800</v>
      </c>
      <c r="S25" s="968">
        <v>800</v>
      </c>
      <c r="T25" s="995">
        <f t="shared" si="6"/>
        <v>196.8</v>
      </c>
      <c r="U25" s="995">
        <f t="shared" si="6"/>
        <v>235.2</v>
      </c>
      <c r="V25" s="995">
        <f t="shared" si="6"/>
        <v>266.39999999999998</v>
      </c>
      <c r="W25" s="996">
        <f t="shared" si="13"/>
        <v>158.4</v>
      </c>
      <c r="X25" s="996">
        <f t="shared" si="13"/>
        <v>189.6</v>
      </c>
      <c r="Y25" s="996">
        <f t="shared" si="13"/>
        <v>213.6</v>
      </c>
      <c r="Z25" s="968">
        <v>800</v>
      </c>
    </row>
    <row r="26" spans="1:26">
      <c r="A26" s="968">
        <v>900</v>
      </c>
      <c r="B26" s="995">
        <f t="shared" si="0"/>
        <v>52.2</v>
      </c>
      <c r="C26" s="995">
        <f t="shared" si="1"/>
        <v>62.4</v>
      </c>
      <c r="D26" s="995">
        <f t="shared" si="2"/>
        <v>70.2</v>
      </c>
      <c r="E26" s="996">
        <f t="shared" si="7"/>
        <v>42.6</v>
      </c>
      <c r="F26" s="996">
        <f t="shared" si="8"/>
        <v>51</v>
      </c>
      <c r="G26" s="996">
        <f t="shared" si="9"/>
        <v>57.6</v>
      </c>
      <c r="H26" s="968">
        <v>900</v>
      </c>
      <c r="J26" s="968">
        <v>900</v>
      </c>
      <c r="K26" s="995">
        <f t="shared" si="3"/>
        <v>104.4</v>
      </c>
      <c r="L26" s="995">
        <f t="shared" si="4"/>
        <v>124.8</v>
      </c>
      <c r="M26" s="995">
        <f t="shared" si="5"/>
        <v>140.4</v>
      </c>
      <c r="N26" s="996">
        <f t="shared" si="10"/>
        <v>85.2</v>
      </c>
      <c r="O26" s="996">
        <f t="shared" si="11"/>
        <v>102</v>
      </c>
      <c r="P26" s="996">
        <f t="shared" si="12"/>
        <v>115.2</v>
      </c>
      <c r="Q26" s="968">
        <v>900</v>
      </c>
      <c r="S26" s="968">
        <v>900</v>
      </c>
      <c r="T26" s="995">
        <f t="shared" si="6"/>
        <v>208.8</v>
      </c>
      <c r="U26" s="995">
        <f t="shared" si="6"/>
        <v>249.6</v>
      </c>
      <c r="V26" s="995">
        <f t="shared" si="6"/>
        <v>280.8</v>
      </c>
      <c r="W26" s="996">
        <f t="shared" si="13"/>
        <v>170.4</v>
      </c>
      <c r="X26" s="996">
        <f t="shared" si="13"/>
        <v>204</v>
      </c>
      <c r="Y26" s="996">
        <f t="shared" si="13"/>
        <v>230.4</v>
      </c>
      <c r="Z26" s="968">
        <v>900</v>
      </c>
    </row>
    <row r="27" spans="1:26">
      <c r="A27" s="968">
        <v>1000</v>
      </c>
      <c r="B27" s="995">
        <f t="shared" si="0"/>
        <v>54.6</v>
      </c>
      <c r="C27" s="995">
        <f t="shared" si="1"/>
        <v>65.400000000000006</v>
      </c>
      <c r="D27" s="995">
        <f t="shared" si="2"/>
        <v>73.8</v>
      </c>
      <c r="E27" s="996">
        <f t="shared" si="7"/>
        <v>45</v>
      </c>
      <c r="F27" s="996">
        <f t="shared" si="8"/>
        <v>53.4</v>
      </c>
      <c r="G27" s="996">
        <f t="shared" si="9"/>
        <v>60</v>
      </c>
      <c r="H27" s="968">
        <v>1000</v>
      </c>
      <c r="J27" s="968">
        <v>1000</v>
      </c>
      <c r="K27" s="995">
        <f t="shared" si="3"/>
        <v>109.2</v>
      </c>
      <c r="L27" s="995">
        <f t="shared" si="4"/>
        <v>130.80000000000001</v>
      </c>
      <c r="M27" s="995">
        <f t="shared" si="5"/>
        <v>147.6</v>
      </c>
      <c r="N27" s="996">
        <f t="shared" si="10"/>
        <v>90</v>
      </c>
      <c r="O27" s="996">
        <f t="shared" si="11"/>
        <v>106.8</v>
      </c>
      <c r="P27" s="996">
        <f t="shared" si="12"/>
        <v>120</v>
      </c>
      <c r="Q27" s="968">
        <v>1000</v>
      </c>
      <c r="S27" s="968">
        <v>1000</v>
      </c>
      <c r="T27" s="995">
        <f t="shared" si="6"/>
        <v>218.4</v>
      </c>
      <c r="U27" s="995">
        <f t="shared" si="6"/>
        <v>261.60000000000002</v>
      </c>
      <c r="V27" s="995">
        <f t="shared" si="6"/>
        <v>295.2</v>
      </c>
      <c r="W27" s="996">
        <f t="shared" si="13"/>
        <v>180</v>
      </c>
      <c r="X27" s="996">
        <f t="shared" si="13"/>
        <v>213.6</v>
      </c>
      <c r="Y27" s="996">
        <f t="shared" si="13"/>
        <v>240</v>
      </c>
      <c r="Z27" s="968">
        <v>1000</v>
      </c>
    </row>
    <row r="28" spans="1:26">
      <c r="A28" s="968">
        <v>1250</v>
      </c>
      <c r="B28" s="995">
        <f t="shared" si="0"/>
        <v>59.4</v>
      </c>
      <c r="C28" s="995">
        <f t="shared" si="1"/>
        <v>70.8</v>
      </c>
      <c r="D28" s="995">
        <f t="shared" si="2"/>
        <v>79.8</v>
      </c>
      <c r="E28" s="996">
        <f t="shared" si="7"/>
        <v>48.6</v>
      </c>
      <c r="F28" s="996">
        <f t="shared" si="8"/>
        <v>58.2</v>
      </c>
      <c r="G28" s="996">
        <f t="shared" si="9"/>
        <v>65.400000000000006</v>
      </c>
      <c r="H28" s="968">
        <v>1250</v>
      </c>
      <c r="J28" s="968">
        <v>1250</v>
      </c>
      <c r="K28" s="995">
        <f t="shared" si="3"/>
        <v>118.8</v>
      </c>
      <c r="L28" s="995">
        <f t="shared" si="4"/>
        <v>141.6</v>
      </c>
      <c r="M28" s="995">
        <f t="shared" si="5"/>
        <v>159.6</v>
      </c>
      <c r="N28" s="996">
        <f t="shared" si="10"/>
        <v>97.2</v>
      </c>
      <c r="O28" s="996">
        <f t="shared" si="11"/>
        <v>116.4</v>
      </c>
      <c r="P28" s="996">
        <f t="shared" si="12"/>
        <v>130.80000000000001</v>
      </c>
      <c r="Q28" s="968">
        <v>1250</v>
      </c>
      <c r="S28" s="968">
        <v>1250</v>
      </c>
      <c r="T28" s="995">
        <f t="shared" si="6"/>
        <v>237.6</v>
      </c>
      <c r="U28" s="995">
        <f t="shared" si="6"/>
        <v>283.2</v>
      </c>
      <c r="V28" s="995">
        <f t="shared" si="6"/>
        <v>319.2</v>
      </c>
      <c r="W28" s="996">
        <f t="shared" si="13"/>
        <v>194.4</v>
      </c>
      <c r="X28" s="996">
        <f t="shared" si="13"/>
        <v>232.8</v>
      </c>
      <c r="Y28" s="996">
        <f t="shared" si="13"/>
        <v>261.60000000000002</v>
      </c>
      <c r="Z28" s="968">
        <v>1250</v>
      </c>
    </row>
    <row r="29" spans="1:26">
      <c r="A29" s="968">
        <v>1500</v>
      </c>
      <c r="B29" s="995">
        <f t="shared" si="0"/>
        <v>63</v>
      </c>
      <c r="C29" s="995">
        <f t="shared" si="1"/>
        <v>75</v>
      </c>
      <c r="D29" s="995">
        <f t="shared" si="2"/>
        <v>84.6</v>
      </c>
      <c r="E29" s="996">
        <f t="shared" si="7"/>
        <v>52.2</v>
      </c>
      <c r="F29" s="996">
        <f t="shared" si="8"/>
        <v>62.4</v>
      </c>
      <c r="G29" s="996">
        <f t="shared" si="9"/>
        <v>70.2</v>
      </c>
      <c r="H29" s="968">
        <v>1500</v>
      </c>
      <c r="J29" s="968">
        <v>1500</v>
      </c>
      <c r="K29" s="995">
        <f t="shared" si="3"/>
        <v>126</v>
      </c>
      <c r="L29" s="995">
        <f t="shared" si="4"/>
        <v>150</v>
      </c>
      <c r="M29" s="995">
        <f t="shared" si="5"/>
        <v>169.2</v>
      </c>
      <c r="N29" s="996">
        <f t="shared" si="10"/>
        <v>104.4</v>
      </c>
      <c r="O29" s="996">
        <f t="shared" si="11"/>
        <v>124.8</v>
      </c>
      <c r="P29" s="996">
        <f t="shared" si="12"/>
        <v>140.4</v>
      </c>
      <c r="Q29" s="968">
        <v>1500</v>
      </c>
      <c r="S29" s="968">
        <v>1500</v>
      </c>
      <c r="T29" s="995">
        <f t="shared" si="6"/>
        <v>252</v>
      </c>
      <c r="U29" s="995">
        <f t="shared" si="6"/>
        <v>300</v>
      </c>
      <c r="V29" s="995">
        <f t="shared" si="6"/>
        <v>338.4</v>
      </c>
      <c r="W29" s="996">
        <f t="shared" si="13"/>
        <v>208.8</v>
      </c>
      <c r="X29" s="996">
        <f t="shared" si="13"/>
        <v>249.6</v>
      </c>
      <c r="Y29" s="996">
        <f t="shared" si="13"/>
        <v>280.8</v>
      </c>
      <c r="Z29" s="968">
        <v>1500</v>
      </c>
    </row>
    <row r="30" spans="1:26">
      <c r="A30" s="968">
        <v>1750</v>
      </c>
      <c r="B30" s="995">
        <f t="shared" si="0"/>
        <v>65.400000000000006</v>
      </c>
      <c r="C30" s="995">
        <f t="shared" si="1"/>
        <v>78</v>
      </c>
      <c r="D30" s="995">
        <f t="shared" si="2"/>
        <v>88.2</v>
      </c>
      <c r="E30" s="996">
        <f t="shared" si="7"/>
        <v>54.6</v>
      </c>
      <c r="F30" s="996">
        <f t="shared" si="8"/>
        <v>65.400000000000006</v>
      </c>
      <c r="G30" s="996">
        <f t="shared" si="9"/>
        <v>73.8</v>
      </c>
      <c r="H30" s="968">
        <v>1750</v>
      </c>
      <c r="J30" s="968">
        <v>1750</v>
      </c>
      <c r="K30" s="995">
        <f t="shared" si="3"/>
        <v>130.80000000000001</v>
      </c>
      <c r="L30" s="995">
        <f t="shared" si="4"/>
        <v>156</v>
      </c>
      <c r="M30" s="995">
        <f t="shared" si="5"/>
        <v>176.4</v>
      </c>
      <c r="N30" s="996">
        <f t="shared" si="10"/>
        <v>109.2</v>
      </c>
      <c r="O30" s="996">
        <f t="shared" si="11"/>
        <v>130.80000000000001</v>
      </c>
      <c r="P30" s="996">
        <f t="shared" si="12"/>
        <v>147.6</v>
      </c>
      <c r="Q30" s="968">
        <v>1750</v>
      </c>
      <c r="S30" s="968">
        <v>1750</v>
      </c>
      <c r="T30" s="995">
        <f t="shared" si="6"/>
        <v>261.60000000000002</v>
      </c>
      <c r="U30" s="995">
        <f t="shared" si="6"/>
        <v>312</v>
      </c>
      <c r="V30" s="995">
        <f t="shared" si="6"/>
        <v>352.8</v>
      </c>
      <c r="W30" s="996">
        <f t="shared" si="13"/>
        <v>218.4</v>
      </c>
      <c r="X30" s="996">
        <f t="shared" si="13"/>
        <v>261.60000000000002</v>
      </c>
      <c r="Y30" s="996">
        <f t="shared" si="13"/>
        <v>295.2</v>
      </c>
      <c r="Z30" s="968">
        <v>1750</v>
      </c>
    </row>
    <row r="31" spans="1:26">
      <c r="A31" s="968">
        <v>2000</v>
      </c>
      <c r="B31" s="995">
        <f t="shared" si="0"/>
        <v>66.599999999999994</v>
      </c>
      <c r="C31" s="995">
        <f t="shared" si="1"/>
        <v>79.8</v>
      </c>
      <c r="D31" s="995">
        <f t="shared" si="2"/>
        <v>90</v>
      </c>
      <c r="E31" s="996">
        <f t="shared" si="7"/>
        <v>56.4</v>
      </c>
      <c r="F31" s="996">
        <f t="shared" si="8"/>
        <v>67.2</v>
      </c>
      <c r="G31" s="996">
        <f t="shared" si="9"/>
        <v>75.599999999999994</v>
      </c>
      <c r="H31" s="968">
        <v>2000</v>
      </c>
      <c r="J31" s="968">
        <v>2000</v>
      </c>
      <c r="K31" s="995">
        <f t="shared" si="3"/>
        <v>133.19999999999999</v>
      </c>
      <c r="L31" s="995">
        <f t="shared" si="4"/>
        <v>159.6</v>
      </c>
      <c r="M31" s="995">
        <f t="shared" si="5"/>
        <v>180</v>
      </c>
      <c r="N31" s="996">
        <f t="shared" si="10"/>
        <v>112.8</v>
      </c>
      <c r="O31" s="996">
        <f t="shared" si="11"/>
        <v>134.4</v>
      </c>
      <c r="P31" s="996">
        <f t="shared" si="12"/>
        <v>151.19999999999999</v>
      </c>
      <c r="Q31" s="968">
        <v>2000</v>
      </c>
      <c r="S31" s="968">
        <v>2000</v>
      </c>
      <c r="T31" s="995">
        <f t="shared" si="6"/>
        <v>266.39999999999998</v>
      </c>
      <c r="U31" s="995">
        <f t="shared" si="6"/>
        <v>319.2</v>
      </c>
      <c r="V31" s="995">
        <f t="shared" si="6"/>
        <v>360</v>
      </c>
      <c r="W31" s="996">
        <f t="shared" si="13"/>
        <v>225.6</v>
      </c>
      <c r="X31" s="996">
        <f t="shared" si="13"/>
        <v>268.8</v>
      </c>
      <c r="Y31" s="996">
        <f t="shared" si="13"/>
        <v>302.39999999999998</v>
      </c>
      <c r="Z31" s="968">
        <v>2000</v>
      </c>
    </row>
    <row r="33" spans="1:26">
      <c r="A33" s="1245" t="s">
        <v>1086</v>
      </c>
      <c r="B33" s="1245"/>
      <c r="C33" s="1245"/>
      <c r="D33" s="1245"/>
      <c r="E33" s="1245"/>
      <c r="F33" s="1245"/>
      <c r="G33" s="1245"/>
      <c r="H33" s="1245"/>
      <c r="J33" s="1245" t="s">
        <v>1087</v>
      </c>
      <c r="K33" s="1245"/>
      <c r="L33" s="1245"/>
      <c r="M33" s="1245"/>
      <c r="N33" s="1245"/>
      <c r="O33" s="1245"/>
      <c r="P33" s="1245"/>
      <c r="Q33" s="1245"/>
      <c r="S33" s="1245" t="s">
        <v>1122</v>
      </c>
      <c r="T33" s="1245"/>
      <c r="U33" s="1245"/>
      <c r="V33" s="1245"/>
      <c r="W33" s="1245"/>
      <c r="X33" s="1245"/>
      <c r="Y33" s="1245"/>
      <c r="Z33" s="1245"/>
    </row>
    <row r="34" spans="1:26">
      <c r="A34" s="965"/>
      <c r="B34" s="1249" t="s">
        <v>10</v>
      </c>
      <c r="C34" s="1249"/>
      <c r="D34" s="1249"/>
      <c r="E34" s="1250" t="s">
        <v>11</v>
      </c>
      <c r="F34" s="1250"/>
      <c r="G34" s="1250"/>
      <c r="H34" s="902"/>
      <c r="J34" s="965"/>
      <c r="K34" s="1249" t="s">
        <v>10</v>
      </c>
      <c r="L34" s="1249"/>
      <c r="M34" s="1249"/>
      <c r="N34" s="1250" t="s">
        <v>11</v>
      </c>
      <c r="O34" s="1250"/>
      <c r="P34" s="1250"/>
      <c r="Q34" s="902"/>
      <c r="S34" s="965"/>
      <c r="T34" s="1249" t="s">
        <v>10</v>
      </c>
      <c r="U34" s="1249"/>
      <c r="V34" s="1249"/>
      <c r="W34" s="1250" t="s">
        <v>11</v>
      </c>
      <c r="X34" s="1250"/>
      <c r="Y34" s="1250"/>
      <c r="Z34" s="902"/>
    </row>
    <row r="35" spans="1:26">
      <c r="A35" s="965" t="s">
        <v>4</v>
      </c>
      <c r="B35" s="966" t="s">
        <v>636</v>
      </c>
      <c r="C35" s="966" t="s">
        <v>637</v>
      </c>
      <c r="D35" s="966" t="s">
        <v>643</v>
      </c>
      <c r="E35" s="967" t="s">
        <v>636</v>
      </c>
      <c r="F35" s="967" t="s">
        <v>637</v>
      </c>
      <c r="G35" s="967" t="s">
        <v>643</v>
      </c>
      <c r="H35" s="965" t="s">
        <v>4</v>
      </c>
      <c r="J35" s="965" t="s">
        <v>4</v>
      </c>
      <c r="K35" s="966" t="s">
        <v>636</v>
      </c>
      <c r="L35" s="966" t="s">
        <v>637</v>
      </c>
      <c r="M35" s="966" t="s">
        <v>643</v>
      </c>
      <c r="N35" s="967" t="s">
        <v>636</v>
      </c>
      <c r="O35" s="967" t="s">
        <v>637</v>
      </c>
      <c r="P35" s="967" t="s">
        <v>643</v>
      </c>
      <c r="Q35" s="965" t="s">
        <v>4</v>
      </c>
      <c r="S35" s="965" t="s">
        <v>4</v>
      </c>
      <c r="T35" s="966" t="s">
        <v>636</v>
      </c>
      <c r="U35" s="966" t="s">
        <v>637</v>
      </c>
      <c r="V35" s="966" t="s">
        <v>643</v>
      </c>
      <c r="W35" s="967" t="s">
        <v>636</v>
      </c>
      <c r="X35" s="967" t="s">
        <v>637</v>
      </c>
      <c r="Y35" s="967" t="s">
        <v>643</v>
      </c>
      <c r="Z35" s="965" t="s">
        <v>4</v>
      </c>
    </row>
    <row r="36" spans="1:26">
      <c r="A36" s="968">
        <v>14</v>
      </c>
      <c r="B36" s="995">
        <f t="shared" ref="B36:B63" si="14">(T36*208*SQRT(3))/1000</f>
        <v>5.4039985196148965</v>
      </c>
      <c r="C36" s="995">
        <f t="shared" ref="C36:C63" si="15">(U36*208*SQRT(3))/1000</f>
        <v>7.2053313594865296</v>
      </c>
      <c r="D36" s="995">
        <f t="shared" ref="D36:D63" si="16">(V36*208*SQRT(3))/1000</f>
        <v>9.0066641993581609</v>
      </c>
      <c r="E36" s="909" t="s">
        <v>475</v>
      </c>
      <c r="F36" s="909" t="s">
        <v>475</v>
      </c>
      <c r="G36" s="909" t="s">
        <v>475</v>
      </c>
      <c r="H36" s="968">
        <v>14</v>
      </c>
      <c r="J36" s="968">
        <v>14</v>
      </c>
      <c r="K36" s="995">
        <f t="shared" ref="K36:K63" si="17">(T36*480*SQRT(3))/1000</f>
        <v>12.470765814495914</v>
      </c>
      <c r="L36" s="995">
        <f t="shared" ref="L36:L63" si="18">(U36*480*SQRT(3))/1000</f>
        <v>16.627687752661224</v>
      </c>
      <c r="M36" s="995">
        <f t="shared" ref="M36:M63" si="19">(V36*480*SQRT(3))/1000</f>
        <v>20.784609690826528</v>
      </c>
      <c r="N36" s="909" t="s">
        <v>475</v>
      </c>
      <c r="O36" s="909" t="s">
        <v>475</v>
      </c>
      <c r="P36" s="909" t="s">
        <v>475</v>
      </c>
      <c r="Q36" s="968">
        <v>14</v>
      </c>
      <c r="S36" s="968">
        <v>14</v>
      </c>
      <c r="T36" s="908">
        <v>15</v>
      </c>
      <c r="U36" s="908">
        <v>20</v>
      </c>
      <c r="V36" s="908">
        <v>25</v>
      </c>
      <c r="W36" s="909" t="s">
        <v>475</v>
      </c>
      <c r="X36" s="909" t="s">
        <v>475</v>
      </c>
      <c r="Y36" s="909" t="s">
        <v>475</v>
      </c>
      <c r="Z36" s="968">
        <v>14</v>
      </c>
    </row>
    <row r="37" spans="1:26">
      <c r="A37" s="968">
        <v>12</v>
      </c>
      <c r="B37" s="995">
        <f t="shared" si="14"/>
        <v>7.2053313594865296</v>
      </c>
      <c r="C37" s="995">
        <f t="shared" si="15"/>
        <v>9.0066641993581609</v>
      </c>
      <c r="D37" s="995">
        <f t="shared" si="16"/>
        <v>10.807997039229793</v>
      </c>
      <c r="E37" s="996">
        <f t="shared" ref="E37:E63" si="20">(W37*208*SQRT(3))/1000</f>
        <v>5.4039985196148965</v>
      </c>
      <c r="F37" s="996">
        <f t="shared" ref="F37:F63" si="21">(X37*208*SQRT(3))/1000</f>
        <v>7.2053313594865296</v>
      </c>
      <c r="G37" s="996">
        <f t="shared" ref="G37:G63" si="22">(Y37*208*SQRT(3))/1000</f>
        <v>9.0066641993581609</v>
      </c>
      <c r="H37" s="968">
        <v>12</v>
      </c>
      <c r="J37" s="968">
        <v>12</v>
      </c>
      <c r="K37" s="995">
        <f t="shared" si="17"/>
        <v>16.627687752661224</v>
      </c>
      <c r="L37" s="995">
        <f t="shared" si="18"/>
        <v>20.784609690826528</v>
      </c>
      <c r="M37" s="995">
        <f t="shared" si="19"/>
        <v>24.941531628991829</v>
      </c>
      <c r="N37" s="996">
        <f t="shared" ref="N37:N63" si="23">(W37*480*SQRT(3))/1000</f>
        <v>12.470765814495914</v>
      </c>
      <c r="O37" s="996">
        <f t="shared" ref="O37:O63" si="24">(X37*480*SQRT(3))/1000</f>
        <v>16.627687752661224</v>
      </c>
      <c r="P37" s="996">
        <f t="shared" ref="P37:P63" si="25">(Y37*480*SQRT(3))/1000</f>
        <v>20.784609690826528</v>
      </c>
      <c r="Q37" s="968">
        <v>12</v>
      </c>
      <c r="S37" s="968">
        <v>12</v>
      </c>
      <c r="T37" s="908">
        <v>20</v>
      </c>
      <c r="U37" s="908">
        <v>25</v>
      </c>
      <c r="V37" s="908">
        <v>30</v>
      </c>
      <c r="W37" s="913">
        <v>15</v>
      </c>
      <c r="X37" s="913">
        <v>20</v>
      </c>
      <c r="Y37" s="913">
        <v>25</v>
      </c>
      <c r="Z37" s="968">
        <v>12</v>
      </c>
    </row>
    <row r="38" spans="1:26">
      <c r="A38" s="968">
        <v>10</v>
      </c>
      <c r="B38" s="995">
        <f t="shared" si="14"/>
        <v>10.807997039229793</v>
      </c>
      <c r="C38" s="995">
        <f t="shared" si="15"/>
        <v>12.609329879101425</v>
      </c>
      <c r="D38" s="995">
        <f t="shared" si="16"/>
        <v>14.410662718973059</v>
      </c>
      <c r="E38" s="996">
        <f t="shared" si="20"/>
        <v>9.0066641993581609</v>
      </c>
      <c r="F38" s="996">
        <f t="shared" si="21"/>
        <v>10.807997039229793</v>
      </c>
      <c r="G38" s="996">
        <f t="shared" si="22"/>
        <v>12.609329879101425</v>
      </c>
      <c r="H38" s="968">
        <v>10</v>
      </c>
      <c r="J38" s="968">
        <v>10</v>
      </c>
      <c r="K38" s="995">
        <f t="shared" si="17"/>
        <v>24.941531628991829</v>
      </c>
      <c r="L38" s="995">
        <f t="shared" si="18"/>
        <v>29.098453567157136</v>
      </c>
      <c r="M38" s="995">
        <f t="shared" si="19"/>
        <v>33.255375505322448</v>
      </c>
      <c r="N38" s="996">
        <f t="shared" si="23"/>
        <v>20.784609690826528</v>
      </c>
      <c r="O38" s="996">
        <f t="shared" si="24"/>
        <v>24.941531628991829</v>
      </c>
      <c r="P38" s="996">
        <f t="shared" si="25"/>
        <v>29.098453567157136</v>
      </c>
      <c r="Q38" s="968">
        <v>10</v>
      </c>
      <c r="S38" s="968">
        <v>10</v>
      </c>
      <c r="T38" s="908">
        <v>30</v>
      </c>
      <c r="U38" s="908">
        <v>35</v>
      </c>
      <c r="V38" s="908">
        <v>40</v>
      </c>
      <c r="W38" s="913">
        <v>25</v>
      </c>
      <c r="X38" s="913">
        <v>30</v>
      </c>
      <c r="Y38" s="913">
        <v>35</v>
      </c>
      <c r="Z38" s="968">
        <v>10</v>
      </c>
    </row>
    <row r="39" spans="1:26">
      <c r="A39" s="968">
        <v>8</v>
      </c>
      <c r="B39" s="995">
        <f t="shared" si="14"/>
        <v>14.410662718973059</v>
      </c>
      <c r="C39" s="995">
        <f t="shared" si="15"/>
        <v>18.013328398716322</v>
      </c>
      <c r="D39" s="995">
        <f t="shared" si="16"/>
        <v>19.814661238587956</v>
      </c>
      <c r="E39" s="996">
        <f t="shared" si="20"/>
        <v>12.609329879101425</v>
      </c>
      <c r="F39" s="996">
        <f t="shared" si="21"/>
        <v>14.410662718973059</v>
      </c>
      <c r="G39" s="996">
        <f t="shared" si="22"/>
        <v>16.211995558844691</v>
      </c>
      <c r="H39" s="968">
        <v>8</v>
      </c>
      <c r="J39" s="968">
        <v>8</v>
      </c>
      <c r="K39" s="995">
        <f t="shared" si="17"/>
        <v>33.255375505322448</v>
      </c>
      <c r="L39" s="995">
        <f t="shared" si="18"/>
        <v>41.569219381653056</v>
      </c>
      <c r="M39" s="995">
        <f t="shared" si="19"/>
        <v>45.72614131981836</v>
      </c>
      <c r="N39" s="996">
        <f t="shared" si="23"/>
        <v>29.098453567157136</v>
      </c>
      <c r="O39" s="996">
        <f t="shared" si="24"/>
        <v>33.255375505322448</v>
      </c>
      <c r="P39" s="996">
        <f t="shared" si="25"/>
        <v>37.412297443487745</v>
      </c>
      <c r="Q39" s="968">
        <v>8</v>
      </c>
      <c r="S39" s="968">
        <v>8</v>
      </c>
      <c r="T39" s="908">
        <v>40</v>
      </c>
      <c r="U39" s="908">
        <v>50</v>
      </c>
      <c r="V39" s="908">
        <v>55</v>
      </c>
      <c r="W39" s="913">
        <v>35</v>
      </c>
      <c r="X39" s="913">
        <v>40</v>
      </c>
      <c r="Y39" s="913">
        <v>45</v>
      </c>
      <c r="Z39" s="968">
        <v>8</v>
      </c>
    </row>
    <row r="40" spans="1:26">
      <c r="A40" s="968">
        <v>6</v>
      </c>
      <c r="B40" s="995">
        <f t="shared" si="14"/>
        <v>19.814661238587956</v>
      </c>
      <c r="C40" s="995">
        <f t="shared" si="15"/>
        <v>23.41732691833122</v>
      </c>
      <c r="D40" s="995">
        <f t="shared" si="16"/>
        <v>27.019992598074484</v>
      </c>
      <c r="E40" s="996">
        <f t="shared" si="20"/>
        <v>14.410662718973059</v>
      </c>
      <c r="F40" s="996">
        <f t="shared" si="21"/>
        <v>18.013328398716322</v>
      </c>
      <c r="G40" s="996">
        <f t="shared" si="22"/>
        <v>19.814661238587956</v>
      </c>
      <c r="H40" s="968">
        <v>6</v>
      </c>
      <c r="J40" s="968">
        <v>6</v>
      </c>
      <c r="K40" s="995">
        <f t="shared" si="17"/>
        <v>45.72614131981836</v>
      </c>
      <c r="L40" s="995">
        <f t="shared" si="18"/>
        <v>54.039985196148969</v>
      </c>
      <c r="M40" s="995">
        <f t="shared" si="19"/>
        <v>62.353829072479577</v>
      </c>
      <c r="N40" s="996">
        <f t="shared" si="23"/>
        <v>33.255375505322448</v>
      </c>
      <c r="O40" s="996">
        <f t="shared" si="24"/>
        <v>41.569219381653056</v>
      </c>
      <c r="P40" s="996">
        <f t="shared" si="25"/>
        <v>45.72614131981836</v>
      </c>
      <c r="Q40" s="968">
        <v>6</v>
      </c>
      <c r="S40" s="968">
        <v>6</v>
      </c>
      <c r="T40" s="908">
        <v>55</v>
      </c>
      <c r="U40" s="908">
        <v>65</v>
      </c>
      <c r="V40" s="908">
        <v>75</v>
      </c>
      <c r="W40" s="913">
        <v>40</v>
      </c>
      <c r="X40" s="913">
        <v>50</v>
      </c>
      <c r="Y40" s="913">
        <v>55</v>
      </c>
      <c r="Z40" s="968">
        <v>6</v>
      </c>
    </row>
    <row r="41" spans="1:26">
      <c r="A41" s="968">
        <v>4</v>
      </c>
      <c r="B41" s="995">
        <f t="shared" si="14"/>
        <v>25.21865975820285</v>
      </c>
      <c r="C41" s="995">
        <f t="shared" si="15"/>
        <v>30.622658277817749</v>
      </c>
      <c r="D41" s="995">
        <f t="shared" si="16"/>
        <v>34.225323957561017</v>
      </c>
      <c r="E41" s="996">
        <f t="shared" si="20"/>
        <v>19.814661238587956</v>
      </c>
      <c r="F41" s="996">
        <f t="shared" si="21"/>
        <v>23.41732691833122</v>
      </c>
      <c r="G41" s="996">
        <f t="shared" si="22"/>
        <v>27.019992598074484</v>
      </c>
      <c r="H41" s="968">
        <v>4</v>
      </c>
      <c r="J41" s="968">
        <v>4</v>
      </c>
      <c r="K41" s="995">
        <f t="shared" si="17"/>
        <v>58.196907134314273</v>
      </c>
      <c r="L41" s="995">
        <f t="shared" si="18"/>
        <v>70.667672948810178</v>
      </c>
      <c r="M41" s="995">
        <f t="shared" si="19"/>
        <v>78.981516825140801</v>
      </c>
      <c r="N41" s="996">
        <f t="shared" si="23"/>
        <v>45.72614131981836</v>
      </c>
      <c r="O41" s="996">
        <f t="shared" si="24"/>
        <v>54.039985196148969</v>
      </c>
      <c r="P41" s="996">
        <f t="shared" si="25"/>
        <v>62.353829072479577</v>
      </c>
      <c r="Q41" s="968">
        <v>4</v>
      </c>
      <c r="S41" s="968">
        <v>4</v>
      </c>
      <c r="T41" s="908">
        <v>70</v>
      </c>
      <c r="U41" s="908">
        <v>85</v>
      </c>
      <c r="V41" s="908">
        <v>95</v>
      </c>
      <c r="W41" s="913">
        <v>55</v>
      </c>
      <c r="X41" s="913">
        <v>65</v>
      </c>
      <c r="Y41" s="913">
        <v>75</v>
      </c>
      <c r="Z41" s="968">
        <v>4</v>
      </c>
    </row>
    <row r="42" spans="1:26">
      <c r="A42" s="968">
        <v>3</v>
      </c>
      <c r="B42" s="995">
        <f t="shared" si="14"/>
        <v>30.622658277817749</v>
      </c>
      <c r="C42" s="995">
        <f t="shared" si="15"/>
        <v>36.026656797432643</v>
      </c>
      <c r="D42" s="995">
        <f t="shared" si="16"/>
        <v>41.430655317047545</v>
      </c>
      <c r="E42" s="996">
        <f t="shared" si="20"/>
        <v>23.41732691833122</v>
      </c>
      <c r="F42" s="996">
        <f t="shared" si="21"/>
        <v>27.019992598074484</v>
      </c>
      <c r="G42" s="996">
        <f t="shared" si="22"/>
        <v>30.622658277817749</v>
      </c>
      <c r="H42" s="968">
        <v>3</v>
      </c>
      <c r="J42" s="968">
        <v>3</v>
      </c>
      <c r="K42" s="995">
        <f t="shared" si="17"/>
        <v>70.667672948810178</v>
      </c>
      <c r="L42" s="995">
        <f t="shared" si="18"/>
        <v>83.138438763306112</v>
      </c>
      <c r="M42" s="995">
        <f t="shared" si="19"/>
        <v>95.609204577802032</v>
      </c>
      <c r="N42" s="996">
        <f t="shared" si="23"/>
        <v>54.039985196148969</v>
      </c>
      <c r="O42" s="996">
        <f t="shared" si="24"/>
        <v>62.353829072479577</v>
      </c>
      <c r="P42" s="996">
        <f t="shared" si="25"/>
        <v>70.667672948810178</v>
      </c>
      <c r="Q42" s="968">
        <v>3</v>
      </c>
      <c r="S42" s="968">
        <v>3</v>
      </c>
      <c r="T42" s="908">
        <v>85</v>
      </c>
      <c r="U42" s="908">
        <v>100</v>
      </c>
      <c r="V42" s="908">
        <v>115</v>
      </c>
      <c r="W42" s="913">
        <v>65</v>
      </c>
      <c r="X42" s="913">
        <v>75</v>
      </c>
      <c r="Y42" s="913">
        <v>85</v>
      </c>
      <c r="Z42" s="968">
        <v>3</v>
      </c>
    </row>
    <row r="43" spans="1:26">
      <c r="A43" s="968">
        <v>2</v>
      </c>
      <c r="B43" s="995">
        <f t="shared" si="14"/>
        <v>34.225323957561017</v>
      </c>
      <c r="C43" s="995">
        <f t="shared" si="15"/>
        <v>41.430655317047545</v>
      </c>
      <c r="D43" s="995">
        <f t="shared" si="16"/>
        <v>46.83465383666244</v>
      </c>
      <c r="E43" s="996">
        <f t="shared" si="20"/>
        <v>27.019992598074484</v>
      </c>
      <c r="F43" s="996">
        <f t="shared" si="21"/>
        <v>32.423991117689383</v>
      </c>
      <c r="G43" s="996">
        <f t="shared" si="22"/>
        <v>36.026656797432643</v>
      </c>
      <c r="H43" s="968">
        <v>2</v>
      </c>
      <c r="J43" s="968">
        <v>2</v>
      </c>
      <c r="K43" s="995">
        <f t="shared" si="17"/>
        <v>78.981516825140801</v>
      </c>
      <c r="L43" s="995">
        <f t="shared" si="18"/>
        <v>95.609204577802032</v>
      </c>
      <c r="M43" s="995">
        <f t="shared" si="19"/>
        <v>108.07997039229794</v>
      </c>
      <c r="N43" s="996">
        <f t="shared" si="23"/>
        <v>62.353829072479577</v>
      </c>
      <c r="O43" s="996">
        <f t="shared" si="24"/>
        <v>74.82459488697549</v>
      </c>
      <c r="P43" s="996">
        <f t="shared" si="25"/>
        <v>83.138438763306112</v>
      </c>
      <c r="Q43" s="968">
        <v>2</v>
      </c>
      <c r="S43" s="968">
        <v>2</v>
      </c>
      <c r="T43" s="908">
        <v>95</v>
      </c>
      <c r="U43" s="908">
        <v>115</v>
      </c>
      <c r="V43" s="908">
        <v>130</v>
      </c>
      <c r="W43" s="913">
        <v>75</v>
      </c>
      <c r="X43" s="913">
        <v>90</v>
      </c>
      <c r="Y43" s="913">
        <v>100</v>
      </c>
      <c r="Z43" s="968">
        <v>2</v>
      </c>
    </row>
    <row r="44" spans="1:26">
      <c r="A44" s="968">
        <v>1</v>
      </c>
      <c r="B44" s="995">
        <f t="shared" si="14"/>
        <v>39.629322477175911</v>
      </c>
      <c r="C44" s="995">
        <f t="shared" si="15"/>
        <v>46.83465383666244</v>
      </c>
      <c r="D44" s="995">
        <f t="shared" si="16"/>
        <v>52.238652356277335</v>
      </c>
      <c r="E44" s="996">
        <f t="shared" si="20"/>
        <v>30.622658277817749</v>
      </c>
      <c r="F44" s="996">
        <f t="shared" si="21"/>
        <v>36.026656797432643</v>
      </c>
      <c r="G44" s="996">
        <f t="shared" si="22"/>
        <v>41.430655317047545</v>
      </c>
      <c r="H44" s="968">
        <v>1</v>
      </c>
      <c r="J44" s="968">
        <v>1</v>
      </c>
      <c r="K44" s="995">
        <f t="shared" si="17"/>
        <v>91.452282639636721</v>
      </c>
      <c r="L44" s="995">
        <f t="shared" si="18"/>
        <v>108.07997039229794</v>
      </c>
      <c r="M44" s="995">
        <f t="shared" si="19"/>
        <v>120.55073620679386</v>
      </c>
      <c r="N44" s="996">
        <f t="shared" si="23"/>
        <v>70.667672948810178</v>
      </c>
      <c r="O44" s="996">
        <f t="shared" si="24"/>
        <v>83.138438763306112</v>
      </c>
      <c r="P44" s="996">
        <f t="shared" si="25"/>
        <v>95.609204577802032</v>
      </c>
      <c r="Q44" s="968">
        <v>1</v>
      </c>
      <c r="S44" s="968">
        <v>1</v>
      </c>
      <c r="T44" s="908">
        <v>110</v>
      </c>
      <c r="U44" s="908">
        <v>130</v>
      </c>
      <c r="V44" s="908">
        <v>145</v>
      </c>
      <c r="W44" s="913">
        <v>85</v>
      </c>
      <c r="X44" s="913">
        <v>100</v>
      </c>
      <c r="Y44" s="913">
        <v>115</v>
      </c>
      <c r="Z44" s="968">
        <v>1</v>
      </c>
    </row>
    <row r="45" spans="1:26">
      <c r="A45" s="968" t="s">
        <v>18</v>
      </c>
      <c r="B45" s="995">
        <f t="shared" si="14"/>
        <v>45.033320996790806</v>
      </c>
      <c r="C45" s="995">
        <f t="shared" si="15"/>
        <v>54.039985196148969</v>
      </c>
      <c r="D45" s="995">
        <f t="shared" si="16"/>
        <v>61.245316555635497</v>
      </c>
      <c r="E45" s="996">
        <f t="shared" si="20"/>
        <v>36.026656797432643</v>
      </c>
      <c r="F45" s="996">
        <f t="shared" si="21"/>
        <v>43.231988156919172</v>
      </c>
      <c r="G45" s="996">
        <f t="shared" si="22"/>
        <v>48.635986676534067</v>
      </c>
      <c r="H45" s="968" t="s">
        <v>18</v>
      </c>
      <c r="J45" s="968" t="s">
        <v>18</v>
      </c>
      <c r="K45" s="995">
        <f t="shared" si="17"/>
        <v>103.92304845413263</v>
      </c>
      <c r="L45" s="995">
        <f t="shared" si="18"/>
        <v>124.70765814495915</v>
      </c>
      <c r="M45" s="995">
        <f t="shared" si="19"/>
        <v>141.33534589762036</v>
      </c>
      <c r="N45" s="996">
        <f t="shared" si="23"/>
        <v>83.138438763306112</v>
      </c>
      <c r="O45" s="996">
        <f t="shared" si="24"/>
        <v>99.766126515967315</v>
      </c>
      <c r="P45" s="996">
        <f t="shared" si="25"/>
        <v>112.23689233046325</v>
      </c>
      <c r="Q45" s="968" t="s">
        <v>18</v>
      </c>
      <c r="S45" s="968" t="s">
        <v>18</v>
      </c>
      <c r="T45" s="908">
        <v>125</v>
      </c>
      <c r="U45" s="908">
        <v>150</v>
      </c>
      <c r="V45" s="908">
        <v>170</v>
      </c>
      <c r="W45" s="913">
        <v>100</v>
      </c>
      <c r="X45" s="913">
        <v>120</v>
      </c>
      <c r="Y45" s="913">
        <v>135</v>
      </c>
      <c r="Z45" s="968" t="s">
        <v>18</v>
      </c>
    </row>
    <row r="46" spans="1:26">
      <c r="A46" s="968" t="s">
        <v>20</v>
      </c>
      <c r="B46" s="995">
        <f t="shared" si="14"/>
        <v>52.238652356277335</v>
      </c>
      <c r="C46" s="995">
        <f t="shared" si="15"/>
        <v>63.046649395507124</v>
      </c>
      <c r="D46" s="995">
        <f t="shared" si="16"/>
        <v>70.251980754993653</v>
      </c>
      <c r="E46" s="996">
        <f t="shared" si="20"/>
        <v>41.430655317047545</v>
      </c>
      <c r="F46" s="996">
        <f t="shared" si="21"/>
        <v>48.635986676534067</v>
      </c>
      <c r="G46" s="996">
        <f t="shared" si="22"/>
        <v>54.039985196148969</v>
      </c>
      <c r="H46" s="968" t="s">
        <v>20</v>
      </c>
      <c r="J46" s="968" t="s">
        <v>20</v>
      </c>
      <c r="K46" s="995">
        <f t="shared" si="17"/>
        <v>120.55073620679386</v>
      </c>
      <c r="L46" s="995">
        <f t="shared" si="18"/>
        <v>145.4922678357857</v>
      </c>
      <c r="M46" s="995">
        <f t="shared" si="19"/>
        <v>162.11995558844691</v>
      </c>
      <c r="N46" s="996">
        <f t="shared" si="23"/>
        <v>95.609204577802032</v>
      </c>
      <c r="O46" s="996">
        <f t="shared" si="24"/>
        <v>112.23689233046325</v>
      </c>
      <c r="P46" s="996">
        <f t="shared" si="25"/>
        <v>124.70765814495915</v>
      </c>
      <c r="Q46" s="968" t="s">
        <v>20</v>
      </c>
      <c r="S46" s="968" t="s">
        <v>20</v>
      </c>
      <c r="T46" s="908">
        <v>145</v>
      </c>
      <c r="U46" s="908">
        <v>175</v>
      </c>
      <c r="V46" s="908">
        <v>195</v>
      </c>
      <c r="W46" s="913">
        <v>115</v>
      </c>
      <c r="X46" s="913">
        <v>135</v>
      </c>
      <c r="Y46" s="913">
        <v>150</v>
      </c>
      <c r="Z46" s="968" t="s">
        <v>20</v>
      </c>
    </row>
    <row r="47" spans="1:26">
      <c r="A47" s="968" t="s">
        <v>22</v>
      </c>
      <c r="B47" s="995">
        <f t="shared" si="14"/>
        <v>59.443983715763871</v>
      </c>
      <c r="C47" s="995">
        <f t="shared" si="15"/>
        <v>72.053313594865287</v>
      </c>
      <c r="D47" s="995">
        <f t="shared" si="16"/>
        <v>81.059977794223457</v>
      </c>
      <c r="E47" s="996">
        <f t="shared" si="20"/>
        <v>46.83465383666244</v>
      </c>
      <c r="F47" s="996">
        <f t="shared" si="21"/>
        <v>55.841318036020603</v>
      </c>
      <c r="G47" s="996">
        <f t="shared" si="22"/>
        <v>63.046649395507124</v>
      </c>
      <c r="H47" s="968" t="s">
        <v>22</v>
      </c>
      <c r="J47" s="968" t="s">
        <v>22</v>
      </c>
      <c r="K47" s="995">
        <f t="shared" si="17"/>
        <v>137.17842395945507</v>
      </c>
      <c r="L47" s="995">
        <f t="shared" si="18"/>
        <v>166.27687752661222</v>
      </c>
      <c r="M47" s="995">
        <f t="shared" si="19"/>
        <v>187.06148721743872</v>
      </c>
      <c r="N47" s="996">
        <f t="shared" si="23"/>
        <v>108.07997039229794</v>
      </c>
      <c r="O47" s="996">
        <f t="shared" si="24"/>
        <v>128.86458008312445</v>
      </c>
      <c r="P47" s="996">
        <f t="shared" si="25"/>
        <v>145.4922678357857</v>
      </c>
      <c r="Q47" s="968" t="s">
        <v>22</v>
      </c>
      <c r="S47" s="968" t="s">
        <v>22</v>
      </c>
      <c r="T47" s="908">
        <v>165</v>
      </c>
      <c r="U47" s="908">
        <v>200</v>
      </c>
      <c r="V47" s="908">
        <v>225</v>
      </c>
      <c r="W47" s="913">
        <v>130</v>
      </c>
      <c r="X47" s="913">
        <v>155</v>
      </c>
      <c r="Y47" s="913">
        <v>175</v>
      </c>
      <c r="Z47" s="968" t="s">
        <v>22</v>
      </c>
    </row>
    <row r="48" spans="1:26">
      <c r="A48" s="968" t="s">
        <v>23</v>
      </c>
      <c r="B48" s="995">
        <f t="shared" si="14"/>
        <v>70.251980754993653</v>
      </c>
      <c r="C48" s="995">
        <f t="shared" si="15"/>
        <v>82.861310634095091</v>
      </c>
      <c r="D48" s="995">
        <f t="shared" si="16"/>
        <v>93.66930767332488</v>
      </c>
      <c r="E48" s="996">
        <f t="shared" si="20"/>
        <v>54.039985196148969</v>
      </c>
      <c r="F48" s="996">
        <f t="shared" si="21"/>
        <v>64.847982235378765</v>
      </c>
      <c r="G48" s="996">
        <f t="shared" si="22"/>
        <v>73.854646434736921</v>
      </c>
      <c r="H48" s="968" t="s">
        <v>23</v>
      </c>
      <c r="J48" s="968" t="s">
        <v>23</v>
      </c>
      <c r="K48" s="995">
        <f t="shared" si="17"/>
        <v>162.11995558844691</v>
      </c>
      <c r="L48" s="995">
        <f t="shared" si="18"/>
        <v>191.21840915560406</v>
      </c>
      <c r="M48" s="995">
        <f t="shared" si="19"/>
        <v>216.15994078459588</v>
      </c>
      <c r="N48" s="996">
        <f t="shared" si="23"/>
        <v>124.70765814495915</v>
      </c>
      <c r="O48" s="996">
        <f t="shared" si="24"/>
        <v>149.64918977395098</v>
      </c>
      <c r="P48" s="996">
        <f t="shared" si="25"/>
        <v>170.43379946477751</v>
      </c>
      <c r="Q48" s="968" t="s">
        <v>23</v>
      </c>
      <c r="S48" s="968" t="s">
        <v>23</v>
      </c>
      <c r="T48" s="908">
        <v>195</v>
      </c>
      <c r="U48" s="908">
        <v>230</v>
      </c>
      <c r="V48" s="908">
        <v>260</v>
      </c>
      <c r="W48" s="913">
        <v>150</v>
      </c>
      <c r="X48" s="913">
        <v>180</v>
      </c>
      <c r="Y48" s="913">
        <v>205</v>
      </c>
      <c r="Z48" s="968" t="s">
        <v>23</v>
      </c>
    </row>
    <row r="49" spans="1:26">
      <c r="A49" s="968">
        <v>250</v>
      </c>
      <c r="B49" s="995">
        <f t="shared" si="14"/>
        <v>77.457312114480189</v>
      </c>
      <c r="C49" s="995">
        <f t="shared" si="15"/>
        <v>91.867974833453246</v>
      </c>
      <c r="D49" s="995">
        <f t="shared" si="16"/>
        <v>104.47730471255467</v>
      </c>
      <c r="E49" s="996">
        <f t="shared" si="20"/>
        <v>61.245316555635497</v>
      </c>
      <c r="F49" s="996">
        <f t="shared" si="21"/>
        <v>73.854646434736921</v>
      </c>
      <c r="G49" s="996">
        <f t="shared" si="22"/>
        <v>82.861310634095091</v>
      </c>
      <c r="H49" s="968">
        <v>250</v>
      </c>
      <c r="J49" s="968">
        <v>250</v>
      </c>
      <c r="K49" s="995">
        <f t="shared" si="17"/>
        <v>178.74764334110813</v>
      </c>
      <c r="L49" s="995">
        <f t="shared" si="18"/>
        <v>212.00301884643059</v>
      </c>
      <c r="M49" s="995">
        <f t="shared" si="19"/>
        <v>241.10147241358771</v>
      </c>
      <c r="N49" s="996">
        <f t="shared" si="23"/>
        <v>141.33534589762036</v>
      </c>
      <c r="O49" s="996">
        <f t="shared" si="24"/>
        <v>170.43379946477751</v>
      </c>
      <c r="P49" s="996">
        <f t="shared" si="25"/>
        <v>191.21840915560406</v>
      </c>
      <c r="Q49" s="968">
        <v>250</v>
      </c>
      <c r="S49" s="968">
        <v>250</v>
      </c>
      <c r="T49" s="908">
        <v>215</v>
      </c>
      <c r="U49" s="908">
        <v>255</v>
      </c>
      <c r="V49" s="908">
        <v>290</v>
      </c>
      <c r="W49" s="913">
        <v>170</v>
      </c>
      <c r="X49" s="913">
        <v>205</v>
      </c>
      <c r="Y49" s="913">
        <v>230</v>
      </c>
      <c r="Z49" s="968">
        <v>250</v>
      </c>
    </row>
    <row r="50" spans="1:26">
      <c r="A50" s="968">
        <v>300</v>
      </c>
      <c r="B50" s="995">
        <f t="shared" si="14"/>
        <v>86.463976313838344</v>
      </c>
      <c r="C50" s="995">
        <f t="shared" si="15"/>
        <v>102.67597187268305</v>
      </c>
      <c r="D50" s="995">
        <f t="shared" si="16"/>
        <v>115.28530175178447</v>
      </c>
      <c r="E50" s="996">
        <f t="shared" si="20"/>
        <v>70.251980754993653</v>
      </c>
      <c r="F50" s="996">
        <f t="shared" si="21"/>
        <v>82.861310634095091</v>
      </c>
      <c r="G50" s="996">
        <f t="shared" si="22"/>
        <v>93.66930767332488</v>
      </c>
      <c r="H50" s="968">
        <v>300</v>
      </c>
      <c r="J50" s="968">
        <v>300</v>
      </c>
      <c r="K50" s="995">
        <f t="shared" si="17"/>
        <v>199.53225303193463</v>
      </c>
      <c r="L50" s="995">
        <f t="shared" si="18"/>
        <v>236.9445504754224</v>
      </c>
      <c r="M50" s="995">
        <f t="shared" si="19"/>
        <v>266.04300404257958</v>
      </c>
      <c r="N50" s="996">
        <f t="shared" si="23"/>
        <v>162.11995558844691</v>
      </c>
      <c r="O50" s="996">
        <f t="shared" si="24"/>
        <v>191.21840915560406</v>
      </c>
      <c r="P50" s="996">
        <f t="shared" si="25"/>
        <v>216.15994078459588</v>
      </c>
      <c r="Q50" s="968">
        <v>300</v>
      </c>
      <c r="S50" s="968">
        <v>300</v>
      </c>
      <c r="T50" s="908">
        <v>240</v>
      </c>
      <c r="U50" s="908">
        <v>285</v>
      </c>
      <c r="V50" s="908">
        <v>320</v>
      </c>
      <c r="W50" s="913">
        <v>195</v>
      </c>
      <c r="X50" s="913">
        <v>230</v>
      </c>
      <c r="Y50" s="913">
        <v>260</v>
      </c>
      <c r="Z50" s="968">
        <v>300</v>
      </c>
    </row>
    <row r="51" spans="1:26">
      <c r="A51" s="968">
        <v>350</v>
      </c>
      <c r="B51" s="995">
        <f t="shared" si="14"/>
        <v>93.66930767332488</v>
      </c>
      <c r="C51" s="995">
        <f t="shared" si="15"/>
        <v>111.68263607204121</v>
      </c>
      <c r="D51" s="995">
        <f t="shared" si="16"/>
        <v>126.09329879101425</v>
      </c>
      <c r="E51" s="996">
        <f t="shared" si="20"/>
        <v>75.655979274608555</v>
      </c>
      <c r="F51" s="996">
        <f t="shared" si="21"/>
        <v>90.066641993581612</v>
      </c>
      <c r="G51" s="996">
        <f t="shared" si="22"/>
        <v>100.8746390328114</v>
      </c>
      <c r="H51" s="968">
        <v>350</v>
      </c>
      <c r="J51" s="968">
        <v>350</v>
      </c>
      <c r="K51" s="995">
        <f t="shared" si="17"/>
        <v>216.15994078459588</v>
      </c>
      <c r="L51" s="995">
        <f t="shared" si="18"/>
        <v>257.7291601662489</v>
      </c>
      <c r="M51" s="995">
        <f t="shared" si="19"/>
        <v>290.98453567157139</v>
      </c>
      <c r="N51" s="996">
        <f t="shared" si="23"/>
        <v>174.59072140294282</v>
      </c>
      <c r="O51" s="996">
        <f t="shared" si="24"/>
        <v>207.84609690826525</v>
      </c>
      <c r="P51" s="996">
        <f t="shared" si="25"/>
        <v>232.78762853725709</v>
      </c>
      <c r="Q51" s="968">
        <v>350</v>
      </c>
      <c r="S51" s="968">
        <v>350</v>
      </c>
      <c r="T51" s="908">
        <v>260</v>
      </c>
      <c r="U51" s="908">
        <v>310</v>
      </c>
      <c r="V51" s="908">
        <v>350</v>
      </c>
      <c r="W51" s="913">
        <v>210</v>
      </c>
      <c r="X51" s="913">
        <v>250</v>
      </c>
      <c r="Y51" s="913">
        <v>280</v>
      </c>
      <c r="Z51" s="968">
        <v>350</v>
      </c>
    </row>
    <row r="52" spans="1:26">
      <c r="A52" s="968">
        <v>400</v>
      </c>
      <c r="B52" s="995">
        <f t="shared" si="14"/>
        <v>100.8746390328114</v>
      </c>
      <c r="C52" s="995">
        <f t="shared" si="15"/>
        <v>120.68930027139936</v>
      </c>
      <c r="D52" s="995">
        <f t="shared" si="16"/>
        <v>136.90129583024407</v>
      </c>
      <c r="E52" s="996">
        <f t="shared" si="20"/>
        <v>81.059977794223457</v>
      </c>
      <c r="F52" s="996">
        <f t="shared" si="21"/>
        <v>97.271973353068134</v>
      </c>
      <c r="G52" s="996">
        <f t="shared" si="22"/>
        <v>109.88130323216957</v>
      </c>
      <c r="H52" s="968">
        <v>400</v>
      </c>
      <c r="J52" s="968">
        <v>400</v>
      </c>
      <c r="K52" s="995">
        <f t="shared" si="17"/>
        <v>232.78762853725709</v>
      </c>
      <c r="L52" s="995">
        <f t="shared" si="18"/>
        <v>278.51376985707549</v>
      </c>
      <c r="M52" s="995">
        <f t="shared" si="19"/>
        <v>315.9260673005632</v>
      </c>
      <c r="N52" s="996">
        <f t="shared" si="23"/>
        <v>187.06148721743872</v>
      </c>
      <c r="O52" s="996">
        <f t="shared" si="24"/>
        <v>224.4737846609265</v>
      </c>
      <c r="P52" s="996">
        <f t="shared" si="25"/>
        <v>253.57223822808362</v>
      </c>
      <c r="Q52" s="968">
        <v>400</v>
      </c>
      <c r="S52" s="968">
        <v>400</v>
      </c>
      <c r="T52" s="908">
        <v>280</v>
      </c>
      <c r="U52" s="908">
        <v>335</v>
      </c>
      <c r="V52" s="908">
        <v>380</v>
      </c>
      <c r="W52" s="913">
        <v>225</v>
      </c>
      <c r="X52" s="913">
        <v>270</v>
      </c>
      <c r="Y52" s="913">
        <v>305</v>
      </c>
      <c r="Z52" s="968">
        <v>400</v>
      </c>
    </row>
    <row r="53" spans="1:26">
      <c r="A53" s="968">
        <v>500</v>
      </c>
      <c r="B53" s="995">
        <f t="shared" si="14"/>
        <v>115.28530175178447</v>
      </c>
      <c r="C53" s="995">
        <f t="shared" si="15"/>
        <v>136.90129583024407</v>
      </c>
      <c r="D53" s="995">
        <f t="shared" si="16"/>
        <v>154.91462422896038</v>
      </c>
      <c r="E53" s="996">
        <f t="shared" si="20"/>
        <v>93.66930767332488</v>
      </c>
      <c r="F53" s="996">
        <f t="shared" si="21"/>
        <v>111.68263607204121</v>
      </c>
      <c r="G53" s="996">
        <f t="shared" si="22"/>
        <v>126.09329879101425</v>
      </c>
      <c r="H53" s="968">
        <v>500</v>
      </c>
      <c r="J53" s="968">
        <v>500</v>
      </c>
      <c r="K53" s="995">
        <f t="shared" si="17"/>
        <v>266.04300404257958</v>
      </c>
      <c r="L53" s="995">
        <f t="shared" si="18"/>
        <v>315.9260673005632</v>
      </c>
      <c r="M53" s="995">
        <f t="shared" si="19"/>
        <v>357.49528668221626</v>
      </c>
      <c r="N53" s="996">
        <f t="shared" si="23"/>
        <v>216.15994078459588</v>
      </c>
      <c r="O53" s="996">
        <f t="shared" si="24"/>
        <v>257.7291601662489</v>
      </c>
      <c r="P53" s="996">
        <f t="shared" si="25"/>
        <v>290.98453567157139</v>
      </c>
      <c r="Q53" s="968">
        <v>500</v>
      </c>
      <c r="S53" s="968">
        <v>500</v>
      </c>
      <c r="T53" s="908">
        <v>320</v>
      </c>
      <c r="U53" s="908">
        <v>380</v>
      </c>
      <c r="V53" s="908">
        <v>430</v>
      </c>
      <c r="W53" s="913">
        <v>260</v>
      </c>
      <c r="X53" s="913">
        <v>310</v>
      </c>
      <c r="Y53" s="913">
        <v>350</v>
      </c>
      <c r="Z53" s="968">
        <v>500</v>
      </c>
    </row>
    <row r="54" spans="1:26">
      <c r="A54" s="968">
        <v>600</v>
      </c>
      <c r="B54" s="995">
        <f t="shared" si="14"/>
        <v>126.09329879101425</v>
      </c>
      <c r="C54" s="995">
        <f t="shared" si="15"/>
        <v>151.31195854921711</v>
      </c>
      <c r="D54" s="995">
        <f t="shared" si="16"/>
        <v>171.12661978780508</v>
      </c>
      <c r="E54" s="996">
        <f t="shared" si="20"/>
        <v>102.67597187268305</v>
      </c>
      <c r="F54" s="996">
        <f t="shared" si="21"/>
        <v>122.49063311127099</v>
      </c>
      <c r="G54" s="996">
        <f t="shared" si="22"/>
        <v>138.7026286701157</v>
      </c>
      <c r="H54" s="968">
        <v>600</v>
      </c>
      <c r="J54" s="968">
        <v>600</v>
      </c>
      <c r="K54" s="995">
        <f t="shared" si="17"/>
        <v>290.98453567157139</v>
      </c>
      <c r="L54" s="995">
        <f t="shared" si="18"/>
        <v>349.18144280588564</v>
      </c>
      <c r="M54" s="995">
        <f t="shared" si="19"/>
        <v>394.90758412570403</v>
      </c>
      <c r="N54" s="996">
        <f t="shared" si="23"/>
        <v>236.9445504754224</v>
      </c>
      <c r="O54" s="996">
        <f t="shared" si="24"/>
        <v>282.67069179524071</v>
      </c>
      <c r="P54" s="996">
        <f t="shared" si="25"/>
        <v>320.08298923872849</v>
      </c>
      <c r="Q54" s="968">
        <v>600</v>
      </c>
      <c r="S54" s="968">
        <v>600</v>
      </c>
      <c r="T54" s="908">
        <v>350</v>
      </c>
      <c r="U54" s="908">
        <v>420</v>
      </c>
      <c r="V54" s="908">
        <v>475</v>
      </c>
      <c r="W54" s="913">
        <v>285</v>
      </c>
      <c r="X54" s="913">
        <v>340</v>
      </c>
      <c r="Y54" s="913">
        <v>385</v>
      </c>
      <c r="Z54" s="968">
        <v>600</v>
      </c>
    </row>
    <row r="55" spans="1:26">
      <c r="A55" s="968">
        <v>700</v>
      </c>
      <c r="B55" s="995">
        <f t="shared" si="14"/>
        <v>138.7026286701157</v>
      </c>
      <c r="C55" s="995">
        <f t="shared" si="15"/>
        <v>165.72262126819018</v>
      </c>
      <c r="D55" s="995">
        <f t="shared" si="16"/>
        <v>187.33861534664976</v>
      </c>
      <c r="E55" s="996">
        <f t="shared" si="20"/>
        <v>113.48396891191283</v>
      </c>
      <c r="F55" s="996">
        <f t="shared" si="21"/>
        <v>135.0999629903724</v>
      </c>
      <c r="G55" s="996">
        <f t="shared" si="22"/>
        <v>153.11329138908874</v>
      </c>
      <c r="H55" s="968">
        <v>700</v>
      </c>
      <c r="J55" s="968">
        <v>700</v>
      </c>
      <c r="K55" s="995">
        <f t="shared" si="17"/>
        <v>320.08298923872849</v>
      </c>
      <c r="L55" s="995">
        <f t="shared" si="18"/>
        <v>382.43681831120813</v>
      </c>
      <c r="M55" s="995">
        <f t="shared" si="19"/>
        <v>432.31988156919175</v>
      </c>
      <c r="N55" s="996">
        <f t="shared" si="23"/>
        <v>261.88608210441424</v>
      </c>
      <c r="O55" s="996">
        <f t="shared" si="24"/>
        <v>311.76914536239786</v>
      </c>
      <c r="P55" s="996">
        <f t="shared" si="25"/>
        <v>353.33836474405098</v>
      </c>
      <c r="Q55" s="968">
        <v>700</v>
      </c>
      <c r="S55" s="968">
        <v>700</v>
      </c>
      <c r="T55" s="908">
        <v>385</v>
      </c>
      <c r="U55" s="908">
        <v>460</v>
      </c>
      <c r="V55" s="908">
        <v>520</v>
      </c>
      <c r="W55" s="913">
        <v>315</v>
      </c>
      <c r="X55" s="913">
        <v>375</v>
      </c>
      <c r="Y55" s="913">
        <v>425</v>
      </c>
      <c r="Z55" s="968">
        <v>700</v>
      </c>
    </row>
    <row r="56" spans="1:26">
      <c r="A56" s="968">
        <v>750</v>
      </c>
      <c r="B56" s="995">
        <f t="shared" si="14"/>
        <v>144.10662718973057</v>
      </c>
      <c r="C56" s="995">
        <f t="shared" si="15"/>
        <v>171.12661978780508</v>
      </c>
      <c r="D56" s="995">
        <f t="shared" si="16"/>
        <v>192.74261386626463</v>
      </c>
      <c r="E56" s="996">
        <f t="shared" si="20"/>
        <v>115.28530175178447</v>
      </c>
      <c r="F56" s="996">
        <f t="shared" si="21"/>
        <v>138.7026286701157</v>
      </c>
      <c r="G56" s="996">
        <f t="shared" si="22"/>
        <v>156.71595706883201</v>
      </c>
      <c r="H56" s="968">
        <v>750</v>
      </c>
      <c r="J56" s="968">
        <v>750</v>
      </c>
      <c r="K56" s="995">
        <f t="shared" si="17"/>
        <v>332.55375505322445</v>
      </c>
      <c r="L56" s="995">
        <f t="shared" si="18"/>
        <v>394.90758412570403</v>
      </c>
      <c r="M56" s="995">
        <f t="shared" si="19"/>
        <v>444.79064738368766</v>
      </c>
      <c r="N56" s="996">
        <f t="shared" si="23"/>
        <v>266.04300404257958</v>
      </c>
      <c r="O56" s="996">
        <f t="shared" si="24"/>
        <v>320.08298923872849</v>
      </c>
      <c r="P56" s="996">
        <f t="shared" si="25"/>
        <v>361.65220862038154</v>
      </c>
      <c r="Q56" s="968">
        <v>750</v>
      </c>
      <c r="S56" s="968">
        <v>750</v>
      </c>
      <c r="T56" s="908">
        <v>400</v>
      </c>
      <c r="U56" s="908">
        <v>475</v>
      </c>
      <c r="V56" s="908">
        <v>535</v>
      </c>
      <c r="W56" s="913">
        <v>320</v>
      </c>
      <c r="X56" s="913">
        <v>385</v>
      </c>
      <c r="Y56" s="913">
        <v>435</v>
      </c>
      <c r="Z56" s="968">
        <v>750</v>
      </c>
    </row>
    <row r="57" spans="1:26">
      <c r="A57" s="968">
        <v>800</v>
      </c>
      <c r="B57" s="995">
        <f t="shared" si="14"/>
        <v>147.70929286947384</v>
      </c>
      <c r="C57" s="995">
        <f t="shared" si="15"/>
        <v>176.53061830741996</v>
      </c>
      <c r="D57" s="995">
        <f t="shared" si="16"/>
        <v>199.94794522575117</v>
      </c>
      <c r="E57" s="996">
        <f t="shared" si="20"/>
        <v>118.88796743152774</v>
      </c>
      <c r="F57" s="996">
        <f t="shared" si="21"/>
        <v>142.30529434985894</v>
      </c>
      <c r="G57" s="996">
        <f t="shared" si="22"/>
        <v>160.31862274857525</v>
      </c>
      <c r="H57" s="968">
        <v>800</v>
      </c>
      <c r="J57" s="968">
        <v>800</v>
      </c>
      <c r="K57" s="995">
        <f t="shared" si="17"/>
        <v>340.86759892955502</v>
      </c>
      <c r="L57" s="995">
        <f t="shared" si="18"/>
        <v>407.37834994019994</v>
      </c>
      <c r="M57" s="995">
        <f t="shared" si="19"/>
        <v>461.4183351363489</v>
      </c>
      <c r="N57" s="996">
        <f t="shared" si="23"/>
        <v>274.35684791891015</v>
      </c>
      <c r="O57" s="996">
        <f t="shared" si="24"/>
        <v>328.39683311505911</v>
      </c>
      <c r="P57" s="996">
        <f t="shared" si="25"/>
        <v>369.96605249671217</v>
      </c>
      <c r="Q57" s="968">
        <v>800</v>
      </c>
      <c r="S57" s="968">
        <v>800</v>
      </c>
      <c r="T57" s="908">
        <v>410</v>
      </c>
      <c r="U57" s="908">
        <v>490</v>
      </c>
      <c r="V57" s="908">
        <v>555</v>
      </c>
      <c r="W57" s="913">
        <v>330</v>
      </c>
      <c r="X57" s="913">
        <v>395</v>
      </c>
      <c r="Y57" s="913">
        <v>445</v>
      </c>
      <c r="Z57" s="968">
        <v>800</v>
      </c>
    </row>
    <row r="58" spans="1:26">
      <c r="A58" s="968">
        <v>900</v>
      </c>
      <c r="B58" s="995">
        <f t="shared" si="14"/>
        <v>156.71595706883201</v>
      </c>
      <c r="C58" s="995">
        <f t="shared" si="15"/>
        <v>187.33861534664976</v>
      </c>
      <c r="D58" s="995">
        <f t="shared" si="16"/>
        <v>210.75594226498097</v>
      </c>
      <c r="E58" s="996">
        <f t="shared" si="20"/>
        <v>127.8946316308859</v>
      </c>
      <c r="F58" s="996">
        <f t="shared" si="21"/>
        <v>153.11329138908874</v>
      </c>
      <c r="G58" s="996">
        <f t="shared" si="22"/>
        <v>172.92795262767669</v>
      </c>
      <c r="H58" s="968">
        <v>900</v>
      </c>
      <c r="J58" s="968">
        <v>900</v>
      </c>
      <c r="K58" s="995">
        <f t="shared" si="17"/>
        <v>361.65220862038154</v>
      </c>
      <c r="L58" s="995">
        <f t="shared" si="18"/>
        <v>432.31988156919175</v>
      </c>
      <c r="M58" s="995">
        <f t="shared" si="19"/>
        <v>486.35986676534071</v>
      </c>
      <c r="N58" s="996">
        <f t="shared" si="23"/>
        <v>295.14145760973668</v>
      </c>
      <c r="O58" s="996">
        <f t="shared" si="24"/>
        <v>353.33836474405098</v>
      </c>
      <c r="P58" s="996">
        <f t="shared" si="25"/>
        <v>399.06450606386926</v>
      </c>
      <c r="Q58" s="968">
        <v>900</v>
      </c>
      <c r="S58" s="968">
        <v>900</v>
      </c>
      <c r="T58" s="908">
        <v>435</v>
      </c>
      <c r="U58" s="908">
        <v>520</v>
      </c>
      <c r="V58" s="908">
        <v>585</v>
      </c>
      <c r="W58" s="913">
        <v>355</v>
      </c>
      <c r="X58" s="913">
        <v>425</v>
      </c>
      <c r="Y58" s="913">
        <v>480</v>
      </c>
      <c r="Z58" s="968">
        <v>900</v>
      </c>
    </row>
    <row r="59" spans="1:26">
      <c r="A59" s="968">
        <v>1000</v>
      </c>
      <c r="B59" s="995">
        <f t="shared" si="14"/>
        <v>163.92128842831855</v>
      </c>
      <c r="C59" s="995">
        <f t="shared" si="15"/>
        <v>196.34527954600793</v>
      </c>
      <c r="D59" s="995">
        <f t="shared" si="16"/>
        <v>221.56393930421078</v>
      </c>
      <c r="E59" s="996">
        <f t="shared" si="20"/>
        <v>135.0999629903724</v>
      </c>
      <c r="F59" s="996">
        <f t="shared" si="21"/>
        <v>160.31862274857525</v>
      </c>
      <c r="G59" s="996">
        <f t="shared" si="22"/>
        <v>180.13328398716322</v>
      </c>
      <c r="H59" s="968">
        <v>1000</v>
      </c>
      <c r="J59" s="968">
        <v>1000</v>
      </c>
      <c r="K59" s="995">
        <f t="shared" si="17"/>
        <v>378.27989637304279</v>
      </c>
      <c r="L59" s="995">
        <f t="shared" si="18"/>
        <v>453.10449126001828</v>
      </c>
      <c r="M59" s="995">
        <f t="shared" si="19"/>
        <v>511.30139839433258</v>
      </c>
      <c r="N59" s="996">
        <f t="shared" si="23"/>
        <v>311.76914536239786</v>
      </c>
      <c r="O59" s="996">
        <f t="shared" si="24"/>
        <v>369.96605249671217</v>
      </c>
      <c r="P59" s="996">
        <f t="shared" si="25"/>
        <v>415.69219381653051</v>
      </c>
      <c r="Q59" s="968">
        <v>1000</v>
      </c>
      <c r="S59" s="968">
        <v>1000</v>
      </c>
      <c r="T59" s="908">
        <v>455</v>
      </c>
      <c r="U59" s="908">
        <v>545</v>
      </c>
      <c r="V59" s="908">
        <v>615</v>
      </c>
      <c r="W59" s="913">
        <v>375</v>
      </c>
      <c r="X59" s="913">
        <v>445</v>
      </c>
      <c r="Y59" s="913">
        <v>500</v>
      </c>
      <c r="Z59" s="968">
        <v>1000</v>
      </c>
    </row>
    <row r="60" spans="1:26">
      <c r="A60" s="968">
        <v>1250</v>
      </c>
      <c r="B60" s="995">
        <f t="shared" si="14"/>
        <v>178.33195114729162</v>
      </c>
      <c r="C60" s="995">
        <f t="shared" si="15"/>
        <v>212.55727510485261</v>
      </c>
      <c r="D60" s="995">
        <f t="shared" si="16"/>
        <v>239.57726770292709</v>
      </c>
      <c r="E60" s="996">
        <f t="shared" si="20"/>
        <v>145.90796002960224</v>
      </c>
      <c r="F60" s="996">
        <f t="shared" si="21"/>
        <v>174.72928546754832</v>
      </c>
      <c r="G60" s="996">
        <f t="shared" si="22"/>
        <v>196.34527954600793</v>
      </c>
      <c r="H60" s="968">
        <v>1250</v>
      </c>
      <c r="J60" s="968">
        <v>1250</v>
      </c>
      <c r="K60" s="995">
        <f t="shared" si="17"/>
        <v>411.53527187836522</v>
      </c>
      <c r="L60" s="995">
        <f t="shared" si="18"/>
        <v>490.51678870350599</v>
      </c>
      <c r="M60" s="995">
        <f t="shared" si="19"/>
        <v>552.87061777598558</v>
      </c>
      <c r="N60" s="996">
        <f t="shared" si="23"/>
        <v>336.71067699138973</v>
      </c>
      <c r="O60" s="996">
        <f t="shared" si="24"/>
        <v>403.2214280020346</v>
      </c>
      <c r="P60" s="996">
        <f t="shared" si="25"/>
        <v>453.10449126001828</v>
      </c>
      <c r="Q60" s="968">
        <v>1250</v>
      </c>
      <c r="S60" s="968">
        <v>1250</v>
      </c>
      <c r="T60" s="908">
        <v>495</v>
      </c>
      <c r="U60" s="908">
        <v>590</v>
      </c>
      <c r="V60" s="908">
        <v>665</v>
      </c>
      <c r="W60" s="913">
        <v>405</v>
      </c>
      <c r="X60" s="913">
        <v>485</v>
      </c>
      <c r="Y60" s="913">
        <v>545</v>
      </c>
      <c r="Z60" s="968">
        <v>1250</v>
      </c>
    </row>
    <row r="61" spans="1:26">
      <c r="A61" s="968">
        <v>1500</v>
      </c>
      <c r="B61" s="995">
        <f t="shared" si="14"/>
        <v>189.13994818652139</v>
      </c>
      <c r="C61" s="995">
        <f t="shared" si="15"/>
        <v>225.16660498395402</v>
      </c>
      <c r="D61" s="995">
        <f t="shared" si="16"/>
        <v>253.98793042190016</v>
      </c>
      <c r="E61" s="996">
        <f t="shared" si="20"/>
        <v>156.71595706883201</v>
      </c>
      <c r="F61" s="996">
        <f t="shared" si="21"/>
        <v>187.33861534664976</v>
      </c>
      <c r="G61" s="996">
        <f t="shared" si="22"/>
        <v>210.75594226498097</v>
      </c>
      <c r="H61" s="968">
        <v>1500</v>
      </c>
      <c r="J61" s="968">
        <v>1500</v>
      </c>
      <c r="K61" s="995">
        <f t="shared" si="17"/>
        <v>436.47680350735709</v>
      </c>
      <c r="L61" s="995">
        <f t="shared" si="18"/>
        <v>519.6152422706632</v>
      </c>
      <c r="M61" s="995">
        <f t="shared" si="19"/>
        <v>586.12599328130807</v>
      </c>
      <c r="N61" s="996">
        <f t="shared" si="23"/>
        <v>361.65220862038154</v>
      </c>
      <c r="O61" s="996">
        <f t="shared" si="24"/>
        <v>432.31988156919175</v>
      </c>
      <c r="P61" s="996">
        <f t="shared" si="25"/>
        <v>486.35986676534071</v>
      </c>
      <c r="Q61" s="968">
        <v>1500</v>
      </c>
      <c r="S61" s="968">
        <v>1500</v>
      </c>
      <c r="T61" s="908">
        <v>525</v>
      </c>
      <c r="U61" s="908">
        <v>625</v>
      </c>
      <c r="V61" s="908">
        <v>705</v>
      </c>
      <c r="W61" s="913">
        <v>435</v>
      </c>
      <c r="X61" s="913">
        <v>520</v>
      </c>
      <c r="Y61" s="913">
        <v>585</v>
      </c>
      <c r="Z61" s="968">
        <v>1500</v>
      </c>
    </row>
    <row r="62" spans="1:26">
      <c r="A62" s="968">
        <v>1750</v>
      </c>
      <c r="B62" s="995">
        <f t="shared" si="14"/>
        <v>196.34527954600793</v>
      </c>
      <c r="C62" s="995">
        <f t="shared" si="15"/>
        <v>234.17326918331219</v>
      </c>
      <c r="D62" s="995">
        <f t="shared" si="16"/>
        <v>264.79592746112996</v>
      </c>
      <c r="E62" s="996">
        <f t="shared" si="20"/>
        <v>163.92128842831855</v>
      </c>
      <c r="F62" s="996">
        <f t="shared" si="21"/>
        <v>196.34527954600793</v>
      </c>
      <c r="G62" s="996">
        <f t="shared" si="22"/>
        <v>221.56393930421078</v>
      </c>
      <c r="H62" s="968">
        <v>1750</v>
      </c>
      <c r="J62" s="968">
        <v>1750</v>
      </c>
      <c r="K62" s="995">
        <f t="shared" si="17"/>
        <v>453.10449126001828</v>
      </c>
      <c r="L62" s="995">
        <f t="shared" si="18"/>
        <v>540.39985196148962</v>
      </c>
      <c r="M62" s="995">
        <f t="shared" si="19"/>
        <v>611.06752491029988</v>
      </c>
      <c r="N62" s="996">
        <f t="shared" si="23"/>
        <v>378.27989637304279</v>
      </c>
      <c r="O62" s="996">
        <f t="shared" si="24"/>
        <v>453.10449126001828</v>
      </c>
      <c r="P62" s="996">
        <f t="shared" si="25"/>
        <v>511.30139839433258</v>
      </c>
      <c r="Q62" s="968">
        <v>1750</v>
      </c>
      <c r="S62" s="968">
        <v>1750</v>
      </c>
      <c r="T62" s="908">
        <v>545</v>
      </c>
      <c r="U62" s="908">
        <v>650</v>
      </c>
      <c r="V62" s="908">
        <v>735</v>
      </c>
      <c r="W62" s="913">
        <v>455</v>
      </c>
      <c r="X62" s="913">
        <v>545</v>
      </c>
      <c r="Y62" s="913">
        <v>615</v>
      </c>
      <c r="Z62" s="968">
        <v>1750</v>
      </c>
    </row>
    <row r="63" spans="1:26">
      <c r="A63" s="968">
        <v>2000</v>
      </c>
      <c r="B63" s="995">
        <f t="shared" si="14"/>
        <v>199.94794522575117</v>
      </c>
      <c r="C63" s="995">
        <f t="shared" si="15"/>
        <v>239.57726770292709</v>
      </c>
      <c r="D63" s="995">
        <f t="shared" si="16"/>
        <v>270.19992598074481</v>
      </c>
      <c r="E63" s="996">
        <f t="shared" si="20"/>
        <v>169.32528694793342</v>
      </c>
      <c r="F63" s="996">
        <f t="shared" si="21"/>
        <v>201.7492780656228</v>
      </c>
      <c r="G63" s="996">
        <f t="shared" si="22"/>
        <v>226.96793782382565</v>
      </c>
      <c r="H63" s="968">
        <v>2000</v>
      </c>
      <c r="J63" s="968">
        <v>2000</v>
      </c>
      <c r="K63" s="995">
        <f t="shared" si="17"/>
        <v>461.4183351363489</v>
      </c>
      <c r="L63" s="995">
        <f t="shared" si="18"/>
        <v>552.87061777598558</v>
      </c>
      <c r="M63" s="995">
        <f t="shared" si="19"/>
        <v>623.53829072479573</v>
      </c>
      <c r="N63" s="996">
        <f t="shared" si="23"/>
        <v>390.75066218753869</v>
      </c>
      <c r="O63" s="996">
        <f t="shared" si="24"/>
        <v>465.57525707451418</v>
      </c>
      <c r="P63" s="996">
        <f t="shared" si="25"/>
        <v>523.77216420882849</v>
      </c>
      <c r="Q63" s="968">
        <v>2000</v>
      </c>
      <c r="S63" s="968">
        <v>2000</v>
      </c>
      <c r="T63" s="908">
        <v>555</v>
      </c>
      <c r="U63" s="908">
        <v>665</v>
      </c>
      <c r="V63" s="908">
        <v>750</v>
      </c>
      <c r="W63" s="913">
        <v>470</v>
      </c>
      <c r="X63" s="913">
        <v>560</v>
      </c>
      <c r="Y63" s="913">
        <v>630</v>
      </c>
      <c r="Z63" s="968">
        <v>2000</v>
      </c>
    </row>
  </sheetData>
  <sheetProtection algorithmName="SHA-512" hashValue="d2jgzNs2wc4z5EHvJqO0Dk4ETeG2AS1atUQ8BVhlffFIEwZaEyWFaahUIyx4IrZ4Bcwj84CJ83PtPU/Kj9xLPQ==" saltValue="22DRsOOGaSwu6kb0gmUvmQ==" spinCount="100000" sheet="1" objects="1" scenarios="1"/>
  <mergeCells count="18">
    <mergeCell ref="A1:H1"/>
    <mergeCell ref="B2:D2"/>
    <mergeCell ref="E2:G2"/>
    <mergeCell ref="J1:Q1"/>
    <mergeCell ref="S1:Z1"/>
    <mergeCell ref="T2:V2"/>
    <mergeCell ref="W2:Y2"/>
    <mergeCell ref="K2:M2"/>
    <mergeCell ref="N2:P2"/>
    <mergeCell ref="T34:V34"/>
    <mergeCell ref="W34:Y34"/>
    <mergeCell ref="S33:Z33"/>
    <mergeCell ref="A33:H33"/>
    <mergeCell ref="B34:D34"/>
    <mergeCell ref="E34:G34"/>
    <mergeCell ref="J33:Q33"/>
    <mergeCell ref="K34:M34"/>
    <mergeCell ref="N34:P3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K50"/>
  <sheetViews>
    <sheetView tabSelected="1" zoomScaleNormal="100" workbookViewId="0">
      <selection activeCell="B6" sqref="B6"/>
    </sheetView>
  </sheetViews>
  <sheetFormatPr defaultColWidth="9.140625" defaultRowHeight="12.75"/>
  <cols>
    <col min="1" max="1" width="4.140625" style="250" customWidth="1"/>
    <col min="2" max="2" width="20.85546875" style="250" customWidth="1"/>
    <col min="3" max="3" width="29.28515625" style="250" bestFit="1" customWidth="1"/>
    <col min="4" max="4" width="42.140625" style="250" customWidth="1"/>
    <col min="5" max="5" width="37.5703125" style="250" bestFit="1" customWidth="1"/>
    <col min="6" max="6" width="9.140625" style="332" customWidth="1"/>
    <col min="7" max="8" width="9.140625" style="508" hidden="1" customWidth="1"/>
    <col min="9" max="9" width="1.5703125" style="332" hidden="1" customWidth="1"/>
    <col min="10" max="10" width="5" style="508" hidden="1" customWidth="1"/>
    <col min="11" max="11" width="9.140625" style="332" hidden="1" customWidth="1"/>
    <col min="12" max="16384" width="9.140625" style="250"/>
  </cols>
  <sheetData>
    <row r="1" spans="1:10">
      <c r="A1" s="482" t="s">
        <v>933</v>
      </c>
      <c r="E1" s="883">
        <v>42676</v>
      </c>
      <c r="G1" s="508" t="s">
        <v>329</v>
      </c>
      <c r="H1" s="508">
        <v>3.14</v>
      </c>
      <c r="J1" s="870">
        <v>0.5</v>
      </c>
    </row>
    <row r="2" spans="1:10">
      <c r="G2" s="508" t="s">
        <v>898</v>
      </c>
      <c r="H2" s="508">
        <v>3.54</v>
      </c>
      <c r="J2" s="871">
        <v>0.75</v>
      </c>
    </row>
    <row r="3" spans="1:10">
      <c r="A3" s="188">
        <v>1</v>
      </c>
      <c r="B3" s="611">
        <v>200</v>
      </c>
      <c r="C3" s="482" t="s">
        <v>934</v>
      </c>
      <c r="D3" s="482"/>
      <c r="G3" s="508" t="s">
        <v>896</v>
      </c>
      <c r="H3" s="508">
        <v>3.99</v>
      </c>
      <c r="J3" s="872">
        <v>1</v>
      </c>
    </row>
    <row r="4" spans="1:10">
      <c r="A4" s="188">
        <v>2</v>
      </c>
      <c r="B4" s="611">
        <v>0.8</v>
      </c>
      <c r="C4" s="482" t="s">
        <v>111</v>
      </c>
      <c r="D4" s="482"/>
      <c r="G4" s="508" t="s">
        <v>935</v>
      </c>
      <c r="H4" s="508">
        <v>4.49</v>
      </c>
      <c r="J4" s="870">
        <v>1.5</v>
      </c>
    </row>
    <row r="5" spans="1:10">
      <c r="A5" s="188">
        <v>3</v>
      </c>
      <c r="B5" s="611">
        <v>0.9</v>
      </c>
      <c r="C5" s="482" t="s">
        <v>936</v>
      </c>
      <c r="D5" s="482"/>
      <c r="G5" s="508" t="s">
        <v>937</v>
      </c>
      <c r="H5" s="508">
        <v>4.99</v>
      </c>
      <c r="J5" s="872">
        <v>2</v>
      </c>
    </row>
    <row r="6" spans="1:10">
      <c r="A6" s="188">
        <v>4</v>
      </c>
      <c r="B6" s="611">
        <v>3</v>
      </c>
      <c r="C6" s="482" t="s">
        <v>116</v>
      </c>
      <c r="D6" s="482"/>
      <c r="G6" s="508" t="s">
        <v>897</v>
      </c>
      <c r="H6" s="508">
        <v>5.59</v>
      </c>
      <c r="J6" s="872">
        <v>3</v>
      </c>
    </row>
    <row r="7" spans="1:10">
      <c r="A7" s="188">
        <v>5</v>
      </c>
      <c r="B7" s="611">
        <v>20</v>
      </c>
      <c r="C7" s="482" t="s">
        <v>938</v>
      </c>
      <c r="D7" s="482"/>
      <c r="G7" s="508" t="s">
        <v>939</v>
      </c>
      <c r="H7" s="508">
        <v>6.29</v>
      </c>
      <c r="J7" s="872">
        <v>5</v>
      </c>
    </row>
    <row r="8" spans="1:10">
      <c r="A8" s="188">
        <v>6</v>
      </c>
      <c r="B8" s="611">
        <v>480</v>
      </c>
      <c r="C8" s="482" t="s">
        <v>106</v>
      </c>
      <c r="D8" s="482"/>
      <c r="G8" s="508" t="s">
        <v>899</v>
      </c>
      <c r="H8" s="508">
        <v>7.09</v>
      </c>
      <c r="J8" s="870">
        <v>7.5</v>
      </c>
    </row>
    <row r="9" spans="1:10">
      <c r="A9" s="188">
        <v>7</v>
      </c>
      <c r="B9" s="611">
        <v>130</v>
      </c>
      <c r="C9" s="482" t="s">
        <v>940</v>
      </c>
      <c r="D9" s="482"/>
      <c r="G9" s="508" t="s">
        <v>941</v>
      </c>
      <c r="H9" s="508">
        <v>7.99</v>
      </c>
      <c r="J9" s="872">
        <v>10</v>
      </c>
    </row>
    <row r="10" spans="1:10">
      <c r="A10" s="188">
        <v>8</v>
      </c>
      <c r="B10" s="611" t="s">
        <v>935</v>
      </c>
      <c r="C10" s="482" t="s">
        <v>942</v>
      </c>
      <c r="D10" s="616">
        <f>KVAHP</f>
        <v>4.49</v>
      </c>
      <c r="G10" s="508" t="s">
        <v>27</v>
      </c>
      <c r="H10" s="508">
        <v>8.99</v>
      </c>
      <c r="J10" s="872">
        <v>15</v>
      </c>
    </row>
    <row r="11" spans="1:10">
      <c r="A11" s="188">
        <v>9</v>
      </c>
      <c r="B11" s="332"/>
      <c r="G11" s="508" t="s">
        <v>943</v>
      </c>
      <c r="H11" s="508">
        <v>9.99</v>
      </c>
      <c r="J11" s="872">
        <v>20</v>
      </c>
    </row>
    <row r="12" spans="1:10">
      <c r="A12" s="188">
        <v>10</v>
      </c>
      <c r="B12" s="332"/>
      <c r="C12" s="873"/>
      <c r="D12" s="873"/>
      <c r="E12" s="873"/>
      <c r="G12" s="508" t="s">
        <v>214</v>
      </c>
      <c r="H12" s="508">
        <v>11.19</v>
      </c>
      <c r="J12" s="872">
        <v>25</v>
      </c>
    </row>
    <row r="13" spans="1:10" s="332" customFormat="1">
      <c r="A13" s="188">
        <v>11</v>
      </c>
      <c r="B13" s="1221" t="s">
        <v>208</v>
      </c>
      <c r="C13" s="1222"/>
      <c r="D13" s="863" t="s">
        <v>944</v>
      </c>
      <c r="E13" s="863" t="s">
        <v>945</v>
      </c>
      <c r="G13" s="508" t="s">
        <v>946</v>
      </c>
      <c r="H13" s="508">
        <v>12.49</v>
      </c>
      <c r="J13" s="872">
        <v>30</v>
      </c>
    </row>
    <row r="14" spans="1:10" s="332" customFormat="1">
      <c r="A14" s="188">
        <v>12</v>
      </c>
      <c r="B14" s="864" t="s">
        <v>947</v>
      </c>
      <c r="C14" s="865">
        <f>(HP*746)/(E*EFF*PF*1.732)</f>
        <v>249.25690702249594</v>
      </c>
      <c r="D14" s="874" t="str">
        <f>CONCATENATE(ROUND(C14,2)," = (",HP," X ",746,") / (",E," X ",EFF," X ",PF," X ",1.732,")")</f>
        <v>249.26 = (200 X 746) / (480 X 0.9 X 0.8 X 1.732)</v>
      </c>
      <c r="E14" s="875" t="s">
        <v>964</v>
      </c>
      <c r="G14" s="508" t="s">
        <v>948</v>
      </c>
      <c r="H14" s="508">
        <v>13.99</v>
      </c>
      <c r="J14" s="872">
        <v>40</v>
      </c>
    </row>
    <row r="15" spans="1:10" s="332" customFormat="1">
      <c r="A15" s="188">
        <v>13</v>
      </c>
      <c r="B15" s="866" t="s">
        <v>949</v>
      </c>
      <c r="C15" s="867">
        <f>(KW*1000)/(E*PF*1.732)</f>
        <v>4.5106812933025404</v>
      </c>
      <c r="D15" s="876" t="str">
        <f>CONCATENATE(ROUND(C15,2)," = (",KW," X ",1000,") / (",E," X ",PF," X ",1.732,")")</f>
        <v>4.51 = (3 X 1000) / (480 X 0.8 X 1.732)</v>
      </c>
      <c r="E15" s="877" t="s">
        <v>965</v>
      </c>
      <c r="G15" s="508" t="s">
        <v>950</v>
      </c>
      <c r="H15" s="508">
        <v>15.99</v>
      </c>
      <c r="J15" s="872">
        <v>50</v>
      </c>
    </row>
    <row r="16" spans="1:10" s="332" customFormat="1">
      <c r="A16" s="188">
        <v>14</v>
      </c>
      <c r="B16" s="864" t="s">
        <v>951</v>
      </c>
      <c r="C16" s="865">
        <f>(KVA*1000)/(E*1.732)</f>
        <v>24.056966897613549</v>
      </c>
      <c r="D16" s="874" t="str">
        <f>CONCATENATE(ROUND(C16,2)," = (",KVA," X ",1000,") / (",E," X ",1.732,")")</f>
        <v>24.06 = (20 X 1000) / (480 X 1.732)</v>
      </c>
      <c r="E16" s="875" t="s">
        <v>966</v>
      </c>
      <c r="G16" s="508" t="s">
        <v>952</v>
      </c>
      <c r="H16" s="508">
        <v>17.989999999999998</v>
      </c>
      <c r="J16" s="872">
        <v>60</v>
      </c>
    </row>
    <row r="17" spans="1:10" s="332" customFormat="1">
      <c r="A17" s="188">
        <v>15</v>
      </c>
      <c r="B17" s="866" t="s">
        <v>275</v>
      </c>
      <c r="C17" s="867">
        <f>(E*I*PF*1.732)/1000</f>
        <v>86.461439999999996</v>
      </c>
      <c r="D17" s="876" t="str">
        <f>CONCATENATE(ROUND(C17,2)," = (",E," X ",I," X ",PF," X ",1.732,") / ",1000,)</f>
        <v>86.46 = (480 X 130 X 0.8 X 1.732) / 1000</v>
      </c>
      <c r="E17" s="877" t="s">
        <v>967</v>
      </c>
      <c r="G17" s="508" t="s">
        <v>953</v>
      </c>
      <c r="H17" s="508">
        <v>19.989999999999998</v>
      </c>
      <c r="J17" s="872">
        <v>75</v>
      </c>
    </row>
    <row r="18" spans="1:10" s="332" customFormat="1">
      <c r="A18" s="188">
        <v>16</v>
      </c>
      <c r="B18" s="864" t="s">
        <v>614</v>
      </c>
      <c r="C18" s="865">
        <f>(E*I*1.732)/1000</f>
        <v>108.07680000000001</v>
      </c>
      <c r="D18" s="874" t="str">
        <f>CONCATENATE(ROUND(C18,2)," = (",E," X ",I," X ",1.732,") / ",1000,)</f>
        <v>108.08 = (480 X 130 X 1.732) / 1000</v>
      </c>
      <c r="E18" s="875" t="s">
        <v>968</v>
      </c>
      <c r="G18" s="508" t="s">
        <v>954</v>
      </c>
      <c r="H18" s="508">
        <v>22.39</v>
      </c>
      <c r="J18" s="872">
        <v>100</v>
      </c>
    </row>
    <row r="19" spans="1:10" s="332" customFormat="1">
      <c r="A19" s="188">
        <v>17</v>
      </c>
      <c r="B19" s="866" t="s">
        <v>252</v>
      </c>
      <c r="C19" s="867">
        <f>(E*I*EFF*PF*1.732)/746</f>
        <v>104.31004825737266</v>
      </c>
      <c r="D19" s="876" t="str">
        <f>CONCATENATE(ROUND(C19,2)," = (",E," X ",I," X ",EFF," X ",PF," X ",1.732,") / ",746,)</f>
        <v>104.31 = (480 X 130 X 0.9 X 0.8 X 1.732) / 746</v>
      </c>
      <c r="E19" s="877" t="s">
        <v>969</v>
      </c>
      <c r="G19" s="508" t="s">
        <v>610</v>
      </c>
      <c r="H19" s="508">
        <v>22.4</v>
      </c>
      <c r="J19" s="872">
        <v>125</v>
      </c>
    </row>
    <row r="20" spans="1:10" s="332" customFormat="1">
      <c r="A20" s="188">
        <v>18</v>
      </c>
      <c r="B20" s="864" t="s">
        <v>955</v>
      </c>
      <c r="C20" s="865">
        <f>(HP*KVAHP*1000)/(E*1.732)</f>
        <v>1080.1578137028482</v>
      </c>
      <c r="D20" s="874" t="str">
        <f>CONCATENATE(ROUND(C20,2)," = (",HP," X ",KVAHP," X ",1000,") / (",E," X ",1.732,")","")</f>
        <v>1080.16 = (200 X 4.49 X 1000) / (480 X 1.732)</v>
      </c>
      <c r="E20" s="875" t="s">
        <v>970</v>
      </c>
      <c r="G20" s="508" t="s">
        <v>956</v>
      </c>
      <c r="H20" s="508" t="s">
        <v>313</v>
      </c>
      <c r="J20" s="872">
        <v>150</v>
      </c>
    </row>
    <row r="21" spans="1:10" s="332" customFormat="1">
      <c r="A21" s="188">
        <v>19</v>
      </c>
      <c r="B21" s="868"/>
      <c r="C21" s="868"/>
      <c r="G21" s="508" t="str">
        <f>B10</f>
        <v>D</v>
      </c>
      <c r="H21" s="508">
        <f>VLOOKUP(G21,G1:H19,2,TRUE)</f>
        <v>4.49</v>
      </c>
      <c r="I21" s="332" t="s">
        <v>35</v>
      </c>
      <c r="J21" s="872">
        <v>200</v>
      </c>
    </row>
    <row r="22" spans="1:10" s="332" customFormat="1">
      <c r="A22" s="188">
        <v>20</v>
      </c>
      <c r="B22" s="1223" t="s">
        <v>957</v>
      </c>
      <c r="C22" s="1224"/>
      <c r="D22" s="491" t="s">
        <v>958</v>
      </c>
      <c r="E22" s="491" t="s">
        <v>959</v>
      </c>
      <c r="G22" s="508"/>
      <c r="H22" s="508"/>
      <c r="J22" s="872">
        <v>250</v>
      </c>
    </row>
    <row r="23" spans="1:10" s="332" customFormat="1">
      <c r="A23" s="188">
        <v>21</v>
      </c>
      <c r="B23" s="864" t="s">
        <v>947</v>
      </c>
      <c r="C23" s="865">
        <f>(HP*746)/(E*EFF*PF)</f>
        <v>431.71296296296293</v>
      </c>
      <c r="D23" s="874" t="str">
        <f>CONCATENATE(ROUND(C23,2)," = (",HP," X ",746,") / (",E," X ",EFF," X ",PF,")")</f>
        <v>431.71 = (200 X 746) / (480 X 0.9 X 0.8)</v>
      </c>
      <c r="E23" s="875" t="s">
        <v>971</v>
      </c>
      <c r="J23" s="508">
        <v>300</v>
      </c>
    </row>
    <row r="24" spans="1:10" s="332" customFormat="1">
      <c r="A24" s="188">
        <v>22</v>
      </c>
      <c r="B24" s="866" t="s">
        <v>949</v>
      </c>
      <c r="C24" s="867">
        <f>(KW*1000)/(E*PF)</f>
        <v>7.8125</v>
      </c>
      <c r="D24" s="876" t="str">
        <f>CONCATENATE(ROUND(C24,2)," = (",KW," X ",1000,") / (",E," X ",PF,")")</f>
        <v>7.81 = (3 X 1000) / (480 X 0.8)</v>
      </c>
      <c r="E24" s="877" t="s">
        <v>972</v>
      </c>
      <c r="J24" s="508">
        <v>350</v>
      </c>
    </row>
    <row r="25" spans="1:10" s="332" customFormat="1">
      <c r="A25" s="188">
        <v>23</v>
      </c>
      <c r="B25" s="864" t="s">
        <v>951</v>
      </c>
      <c r="C25" s="865">
        <f>(KVA*1000)/E</f>
        <v>41.666666666666664</v>
      </c>
      <c r="D25" s="874" t="str">
        <f>CONCATENATE(ROUND(C25,2)," = (",KVA," X ",1000,") / ",E,)</f>
        <v>41.67 = (20 X 1000) / 480</v>
      </c>
      <c r="E25" s="875" t="s">
        <v>973</v>
      </c>
      <c r="J25" s="508">
        <v>400</v>
      </c>
    </row>
    <row r="26" spans="1:10" s="332" customFormat="1">
      <c r="A26" s="188">
        <v>24</v>
      </c>
      <c r="B26" s="866" t="s">
        <v>275</v>
      </c>
      <c r="C26" s="867">
        <f>(E*I*PF)/1000</f>
        <v>49.92</v>
      </c>
      <c r="D26" s="876" t="str">
        <f>CONCATENATE(ROUND(C26,2)," = (",E," X ",I," X ",PF,") / ",1000,)</f>
        <v>49.92 = (480 X 130 X 0.8) / 1000</v>
      </c>
      <c r="E26" s="877" t="s">
        <v>974</v>
      </c>
      <c r="J26" s="508">
        <v>450</v>
      </c>
    </row>
    <row r="27" spans="1:10" s="332" customFormat="1">
      <c r="A27" s="188">
        <v>25</v>
      </c>
      <c r="B27" s="864" t="s">
        <v>614</v>
      </c>
      <c r="C27" s="865">
        <f>(E*I)/1000</f>
        <v>62.4</v>
      </c>
      <c r="D27" s="874" t="str">
        <f>CONCATENATE(ROUND(C27,2)," = (",E," X ",I,") / ",1000,)</f>
        <v>62.4 = (480 X 130) / 1000</v>
      </c>
      <c r="E27" s="875" t="s">
        <v>975</v>
      </c>
      <c r="J27" s="508">
        <v>500</v>
      </c>
    </row>
    <row r="28" spans="1:10" s="332" customFormat="1">
      <c r="A28" s="188">
        <v>26</v>
      </c>
      <c r="B28" s="866" t="s">
        <v>252</v>
      </c>
      <c r="C28" s="867">
        <f>(E*I*EFF*PF)/746</f>
        <v>60.225201072386056</v>
      </c>
      <c r="D28" s="876" t="str">
        <f>CONCATENATE(ROUND(C28,2)," = (",E," X ",I," X ",EFF," X ",PF,") / ",746,)</f>
        <v>60.23 = (480 X 130 X 0.9 X 0.8) / 746</v>
      </c>
      <c r="E28" s="877" t="s">
        <v>976</v>
      </c>
      <c r="J28" s="508">
        <v>600</v>
      </c>
    </row>
    <row r="29" spans="1:10" s="332" customFormat="1">
      <c r="A29" s="188">
        <v>27</v>
      </c>
      <c r="B29" s="864" t="s">
        <v>955</v>
      </c>
      <c r="C29" s="865">
        <f>(HP*KVAHP*1000)/E</f>
        <v>1870.8333333333333</v>
      </c>
      <c r="D29" s="874" t="str">
        <f>CONCATENATE(ROUND(C29,2)," = (",HP," X ",KVAHP," X ",1000,") / ",E,"")</f>
        <v>1870.83 = (200 X 4.49 X 1000) / 480</v>
      </c>
      <c r="E29" s="875" t="s">
        <v>977</v>
      </c>
      <c r="J29" s="508">
        <v>700</v>
      </c>
    </row>
    <row r="30" spans="1:10" s="332" customFormat="1">
      <c r="A30" s="188">
        <v>28</v>
      </c>
      <c r="C30" s="868"/>
      <c r="J30" s="508">
        <v>800</v>
      </c>
    </row>
    <row r="31" spans="1:10" s="332" customFormat="1">
      <c r="A31" s="188">
        <v>29</v>
      </c>
      <c r="B31" s="1225" t="s">
        <v>960</v>
      </c>
      <c r="C31" s="1226"/>
      <c r="D31" s="869" t="s">
        <v>961</v>
      </c>
      <c r="E31" s="869" t="s">
        <v>962</v>
      </c>
      <c r="J31" s="508">
        <v>900</v>
      </c>
    </row>
    <row r="32" spans="1:10" s="332" customFormat="1">
      <c r="A32" s="188">
        <v>30</v>
      </c>
      <c r="B32" s="864" t="s">
        <v>947</v>
      </c>
      <c r="C32" s="865">
        <f>(HP*746)/(E*EFF)</f>
        <v>345.37037037037038</v>
      </c>
      <c r="D32" s="874" t="str">
        <f>CONCATENATE(ROUND(C32,2)," = (",HP," X ",746,") / (",E," X ",EFF,")")</f>
        <v>345.37 = (200 X 746) / (480 X 0.9)</v>
      </c>
      <c r="E32" s="875" t="s">
        <v>978</v>
      </c>
      <c r="J32" s="508">
        <v>1000</v>
      </c>
    </row>
    <row r="33" spans="1:11" s="332" customFormat="1">
      <c r="A33" s="188">
        <v>31</v>
      </c>
      <c r="B33" s="866" t="s">
        <v>949</v>
      </c>
      <c r="C33" s="867">
        <f>(KW*1000)/E</f>
        <v>6.25</v>
      </c>
      <c r="D33" s="876" t="str">
        <f>CONCATENATE(ROUND(C33,2)," = (",KW," X ",1000,") / ",E,)</f>
        <v>6.25 = (3 X 1000) / 480</v>
      </c>
      <c r="E33" s="877" t="s">
        <v>979</v>
      </c>
      <c r="J33" s="508">
        <v>1250</v>
      </c>
    </row>
    <row r="34" spans="1:11">
      <c r="A34" s="188">
        <v>32</v>
      </c>
      <c r="B34" s="866" t="s">
        <v>275</v>
      </c>
      <c r="C34" s="867">
        <f>(E*I)/1000</f>
        <v>62.4</v>
      </c>
      <c r="D34" s="876" t="str">
        <f>CONCATENATE(ROUND(C34,2)," = (",E," X ",I,") / ",1000,)</f>
        <v>62.4 = (480 X 130) / 1000</v>
      </c>
      <c r="E34" s="877" t="s">
        <v>980</v>
      </c>
      <c r="G34" s="332"/>
      <c r="H34" s="332"/>
      <c r="I34" s="250"/>
      <c r="J34" s="508">
        <v>1500</v>
      </c>
      <c r="K34" s="250"/>
    </row>
    <row r="35" spans="1:11">
      <c r="A35" s="188">
        <v>33</v>
      </c>
      <c r="B35" s="866" t="s">
        <v>252</v>
      </c>
      <c r="C35" s="867">
        <f>(E*I*EFF)/746</f>
        <v>75.281501340482578</v>
      </c>
      <c r="D35" s="876" t="str">
        <f>CONCATENATE(ROUND(C35,2)," = (",E," X ",I," X ",EFF,") / ",746,)</f>
        <v>75.28 = (480 X 130 X 0.9) / 746</v>
      </c>
      <c r="E35" s="877" t="s">
        <v>981</v>
      </c>
      <c r="G35" s="332"/>
      <c r="H35" s="332"/>
      <c r="I35" s="250"/>
      <c r="J35" s="508">
        <v>1750</v>
      </c>
      <c r="K35" s="250"/>
    </row>
    <row r="36" spans="1:11">
      <c r="G36" s="332"/>
      <c r="H36" s="332"/>
      <c r="I36" s="250"/>
      <c r="J36" s="508">
        <v>2000</v>
      </c>
      <c r="K36" s="250"/>
    </row>
    <row r="37" spans="1:11">
      <c r="A37" s="379" t="s">
        <v>666</v>
      </c>
      <c r="B37" s="379"/>
      <c r="C37" s="387"/>
      <c r="G37" s="332"/>
      <c r="H37" s="332"/>
      <c r="I37" s="250"/>
      <c r="J37" s="508">
        <v>2250</v>
      </c>
      <c r="K37" s="250"/>
    </row>
    <row r="38" spans="1:11">
      <c r="A38" s="380" t="s">
        <v>762</v>
      </c>
      <c r="B38" s="380"/>
      <c r="C38" s="387"/>
      <c r="G38" s="332"/>
      <c r="H38" s="332"/>
      <c r="I38" s="250"/>
      <c r="J38" s="508">
        <v>2500</v>
      </c>
      <c r="K38" s="250"/>
    </row>
    <row r="39" spans="1:11">
      <c r="A39" s="184" t="s">
        <v>763</v>
      </c>
      <c r="B39" s="184"/>
      <c r="C39" s="387"/>
      <c r="J39" s="508">
        <v>2750</v>
      </c>
    </row>
    <row r="40" spans="1:11">
      <c r="A40" s="379" t="s">
        <v>766</v>
      </c>
      <c r="B40" s="379"/>
      <c r="C40" s="251"/>
    </row>
    <row r="41" spans="1:11">
      <c r="A41" s="379" t="s">
        <v>3</v>
      </c>
      <c r="B41" s="379"/>
    </row>
    <row r="44" spans="1:11">
      <c r="E44" s="332"/>
      <c r="F44" s="508"/>
      <c r="H44" s="332"/>
      <c r="K44" s="250"/>
    </row>
    <row r="45" spans="1:11">
      <c r="E45" s="332"/>
      <c r="F45" s="508"/>
      <c r="H45" s="332"/>
      <c r="K45" s="250"/>
    </row>
    <row r="46" spans="1:11">
      <c r="E46" s="332"/>
      <c r="F46" s="508"/>
      <c r="H46" s="332"/>
      <c r="K46" s="250"/>
    </row>
    <row r="47" spans="1:11">
      <c r="E47" s="332"/>
      <c r="F47" s="508"/>
      <c r="H47" s="332"/>
      <c r="K47" s="250"/>
    </row>
    <row r="48" spans="1:11">
      <c r="E48" s="332"/>
      <c r="F48" s="508"/>
      <c r="H48" s="332"/>
      <c r="K48" s="250"/>
    </row>
    <row r="49" spans="5:11">
      <c r="E49" s="332"/>
      <c r="F49" s="508"/>
      <c r="H49" s="332"/>
      <c r="K49" s="250"/>
    </row>
    <row r="50" spans="5:11">
      <c r="E50" s="332"/>
      <c r="F50" s="508"/>
      <c r="H50" s="332"/>
      <c r="K50" s="250"/>
    </row>
  </sheetData>
  <sheetProtection algorithmName="SHA-512" hashValue="1b7sXOiWXINoS6wk7SBP+u3bUzQ9VCQhfTZan3SXYsZx1Ftj/3MkEW4rM55hyeqAo7q4bVuZB75Agso5zST4jg==" saltValue="jeDjHdXG+EM+h4CZGtLKuw==" spinCount="100000" sheet="1" objects="1" scenarios="1"/>
  <mergeCells count="3">
    <mergeCell ref="B13:C13"/>
    <mergeCell ref="B22:C22"/>
    <mergeCell ref="B31:C31"/>
  </mergeCells>
  <dataValidations count="3">
    <dataValidation type="list" allowBlank="1" showInputMessage="1" showErrorMessage="1" sqref="B3" xr:uid="{00000000-0002-0000-0500-000000000000}">
      <formula1>$J$1:$J$39</formula1>
    </dataValidation>
    <dataValidation type="decimal" allowBlank="1" showInputMessage="1" showErrorMessage="1" sqref="B4:B5" xr:uid="{00000000-0002-0000-0500-000001000000}">
      <formula1>0</formula1>
      <formula2>1</formula2>
    </dataValidation>
    <dataValidation type="list" allowBlank="1" showInputMessage="1" showErrorMessage="1" sqref="B10" xr:uid="{00000000-0002-0000-0500-000002000000}">
      <formula1>$G$1:$G$19</formula1>
    </dataValidation>
  </dataValidations>
  <pageMargins left="0.7" right="0.7" top="0.75" bottom="0.75" header="0.3" footer="0.3"/>
  <pageSetup scale="92"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IV38"/>
  <sheetViews>
    <sheetView workbookViewId="0">
      <selection activeCell="A4" sqref="A4"/>
    </sheetView>
  </sheetViews>
  <sheetFormatPr defaultColWidth="11.5703125" defaultRowHeight="15.75" customHeight="1"/>
  <cols>
    <col min="1" max="1" width="12.28515625" style="1135" customWidth="1"/>
    <col min="2" max="2" width="55.42578125" style="1135" bestFit="1" customWidth="1"/>
    <col min="3" max="4" width="17.140625" style="1135" customWidth="1"/>
    <col min="5" max="252" width="17.28515625" style="1135" customWidth="1"/>
    <col min="253" max="16384" width="11.5703125" style="813"/>
  </cols>
  <sheetData>
    <row r="1" spans="1:256" ht="12.75">
      <c r="A1" s="1133" t="s">
        <v>148</v>
      </c>
      <c r="B1" s="1134"/>
    </row>
    <row r="2" spans="1:256" ht="12.75">
      <c r="A2" s="1136"/>
      <c r="B2" s="1134"/>
    </row>
    <row r="3" spans="1:256" ht="12.75">
      <c r="A3" s="1137">
        <v>1500</v>
      </c>
      <c r="B3" s="1138" t="s">
        <v>1143</v>
      </c>
    </row>
    <row r="4" spans="1:256" ht="12.75">
      <c r="A4" s="1139"/>
      <c r="B4" s="1140"/>
    </row>
    <row r="5" spans="1:256" ht="12.75">
      <c r="A5" s="1137">
        <v>480</v>
      </c>
      <c r="B5" s="1138" t="s">
        <v>1140</v>
      </c>
    </row>
    <row r="6" spans="1:256" ht="12.75">
      <c r="A6" s="1141"/>
      <c r="B6" s="1140"/>
    </row>
    <row r="7" spans="1:256" ht="12.75">
      <c r="A7" s="1142">
        <f>A15</f>
        <v>1804.272517321016</v>
      </c>
      <c r="B7" s="1133" t="s">
        <v>149</v>
      </c>
      <c r="C7" s="1135" t="s">
        <v>35</v>
      </c>
    </row>
    <row r="8" spans="1:256" ht="12.75">
      <c r="A8" s="1143"/>
      <c r="B8" s="1140"/>
    </row>
    <row r="9" spans="1:256" ht="12.75">
      <c r="A9" s="1144">
        <v>3.5000000000000003E-2</v>
      </c>
      <c r="B9" s="1138" t="s">
        <v>1141</v>
      </c>
    </row>
    <row r="10" spans="1:256" ht="12.75">
      <c r="A10" s="1145"/>
      <c r="B10" s="1134"/>
    </row>
    <row r="11" spans="1:256" ht="12.75">
      <c r="A11" s="1146">
        <f>A19</f>
        <v>51550.643352029023</v>
      </c>
      <c r="B11" s="1147" t="s">
        <v>150</v>
      </c>
    </row>
    <row r="12" spans="1:256" s="1149" customFormat="1" ht="12.75">
      <c r="A12" s="1148"/>
      <c r="B12" s="1148"/>
      <c r="IS12" s="814"/>
      <c r="IT12" s="814"/>
      <c r="IU12" s="814"/>
      <c r="IV12" s="814"/>
    </row>
    <row r="13" spans="1:256" s="1149" customFormat="1" ht="12.75">
      <c r="A13" s="1150">
        <f>(ROUND((A11/1000),0))</f>
        <v>52</v>
      </c>
      <c r="B13" s="1161" t="s">
        <v>1243</v>
      </c>
      <c r="IS13" s="814"/>
      <c r="IT13" s="814"/>
      <c r="IU13" s="814"/>
      <c r="IV13" s="814"/>
    </row>
    <row r="14" spans="1:256" s="1149" customFormat="1" ht="12.75">
      <c r="A14" s="1148"/>
      <c r="B14" s="1148"/>
      <c r="IS14" s="814"/>
      <c r="IT14" s="814"/>
      <c r="IU14" s="814"/>
      <c r="IV14" s="814"/>
    </row>
    <row r="15" spans="1:256" s="1153" customFormat="1" ht="12.75">
      <c r="A15" s="1151">
        <f>(A3*1000)/(A5*1.732)</f>
        <v>1804.272517321016</v>
      </c>
      <c r="B15" s="1152" t="s">
        <v>1144</v>
      </c>
      <c r="IS15" s="1154"/>
      <c r="IT15" s="1154"/>
      <c r="IU15" s="1154"/>
      <c r="IV15" s="1154"/>
    </row>
    <row r="16" spans="1:256" s="1153" customFormat="1" ht="12.75">
      <c r="A16" s="1155"/>
      <c r="B16" s="1155"/>
      <c r="IS16" s="1154"/>
      <c r="IT16" s="1154"/>
      <c r="IU16" s="1154"/>
      <c r="IV16" s="1154"/>
    </row>
    <row r="17" spans="1:256" s="1153" customFormat="1" ht="12.75">
      <c r="A17" s="1151">
        <f>100/(A9*100)</f>
        <v>28.571428571428569</v>
      </c>
      <c r="B17" s="1152" t="s">
        <v>151</v>
      </c>
      <c r="IS17" s="1154"/>
      <c r="IT17" s="1154"/>
      <c r="IU17" s="1154"/>
      <c r="IV17" s="1154"/>
    </row>
    <row r="18" spans="1:256" s="1153" customFormat="1" ht="12.75">
      <c r="A18" s="1155"/>
      <c r="B18" s="1155"/>
      <c r="IS18" s="1154"/>
      <c r="IT18" s="1154"/>
      <c r="IU18" s="1154"/>
      <c r="IV18" s="1154"/>
    </row>
    <row r="19" spans="1:256" s="1153" customFormat="1" ht="12.75">
      <c r="A19" s="1151">
        <f>A15*A17</f>
        <v>51550.643352029023</v>
      </c>
      <c r="B19" s="1152" t="s">
        <v>152</v>
      </c>
      <c r="IS19" s="1154"/>
      <c r="IT19" s="1154"/>
      <c r="IU19" s="1154"/>
      <c r="IV19" s="1154"/>
    </row>
    <row r="20" spans="1:256" s="1153" customFormat="1" ht="12.75">
      <c r="A20" s="1151"/>
      <c r="B20" s="1152"/>
      <c r="IS20" s="1154"/>
      <c r="IT20" s="1154"/>
      <c r="IU20" s="1154"/>
      <c r="IV20" s="1154"/>
    </row>
    <row r="21" spans="1:256" s="1153" customFormat="1" ht="12.75">
      <c r="A21" s="1156">
        <f>A11/A7</f>
        <v>28.571428571428569</v>
      </c>
      <c r="B21" s="1157" t="s">
        <v>1142</v>
      </c>
      <c r="IS21" s="1154"/>
      <c r="IT21" s="1154"/>
      <c r="IU21" s="1154"/>
      <c r="IV21" s="1154"/>
    </row>
    <row r="22" spans="1:256" ht="12.75">
      <c r="A22" s="1134"/>
      <c r="B22" s="1134"/>
      <c r="C22" s="1153"/>
    </row>
    <row r="23" spans="1:256" ht="12.75">
      <c r="A23" s="1158">
        <f>(A3*1000)/A5</f>
        <v>3125</v>
      </c>
      <c r="B23" s="1152" t="s">
        <v>1145</v>
      </c>
      <c r="C23" s="1153"/>
    </row>
    <row r="24" spans="1:256" ht="12.75">
      <c r="A24" s="1134"/>
      <c r="B24" s="1152"/>
      <c r="C24" s="1153"/>
    </row>
    <row r="25" spans="1:256" ht="12.75">
      <c r="A25" s="982" t="s">
        <v>666</v>
      </c>
      <c r="B25" s="1159"/>
    </row>
    <row r="26" spans="1:256" ht="12.75">
      <c r="A26" s="983" t="s">
        <v>1236</v>
      </c>
      <c r="B26" s="1159"/>
    </row>
    <row r="27" spans="1:256" ht="12.75">
      <c r="A27" s="814" t="s">
        <v>763</v>
      </c>
      <c r="B27" s="1159"/>
    </row>
    <row r="28" spans="1:256" ht="12.75">
      <c r="A28" s="982" t="s">
        <v>766</v>
      </c>
      <c r="B28" s="1159"/>
    </row>
    <row r="29" spans="1:256" ht="12.75">
      <c r="A29" s="982" t="s">
        <v>3</v>
      </c>
      <c r="B29" s="1159"/>
    </row>
    <row r="30" spans="1:256" ht="12.75">
      <c r="A30" s="1160"/>
      <c r="B30" s="1159"/>
    </row>
    <row r="31" spans="1:256" ht="12.75"/>
    <row r="32" spans="1:256" ht="12.75"/>
    <row r="33" ht="12.75"/>
    <row r="34" ht="12.75"/>
    <row r="35" ht="12.75"/>
    <row r="36" ht="12.75"/>
    <row r="37" ht="12.75"/>
    <row r="38" ht="12.75"/>
  </sheetData>
  <sheetProtection algorithmName="SHA-512" hashValue="Q/CKTGPqvGiSSQ/lg+u5yNMi7K3gR8wLUBpwjys1q3R4UHO+Ces7jwdXvAWgJJL7D7tsBDf0Y30tGKhhKuSKmQ==" saltValue="lGer8I2FG8ntW9UU7OadLQ==" spinCount="100000" sheet="1" objects="1" scenarios="1"/>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IQ29"/>
  <sheetViews>
    <sheetView workbookViewId="0">
      <selection activeCell="A7" sqref="A7"/>
    </sheetView>
  </sheetViews>
  <sheetFormatPr defaultColWidth="11.5703125" defaultRowHeight="12.75"/>
  <cols>
    <col min="1" max="1" width="14.140625" style="179" customWidth="1"/>
    <col min="2" max="2" width="63.7109375" style="179" customWidth="1"/>
    <col min="3" max="251" width="9.140625" style="179" customWidth="1"/>
    <col min="252" max="16384" width="11.5703125" style="18"/>
  </cols>
  <sheetData>
    <row r="1" spans="1:2" s="180" customFormat="1">
      <c r="A1" s="1227" t="s">
        <v>364</v>
      </c>
      <c r="B1" s="1227"/>
    </row>
    <row r="2" spans="1:2" s="180" customFormat="1">
      <c r="A2" s="840"/>
      <c r="B2" s="840"/>
    </row>
    <row r="3" spans="1:2">
      <c r="A3" s="844">
        <v>60</v>
      </c>
      <c r="B3" s="845" t="s">
        <v>1244</v>
      </c>
    </row>
    <row r="4" spans="1:2">
      <c r="A4" s="844">
        <v>1.5</v>
      </c>
      <c r="B4" s="845" t="s">
        <v>1245</v>
      </c>
    </row>
    <row r="5" spans="1:2">
      <c r="A5" s="844">
        <v>1</v>
      </c>
      <c r="B5" s="845" t="s">
        <v>365</v>
      </c>
    </row>
    <row r="6" spans="1:2">
      <c r="A6" s="844">
        <v>5</v>
      </c>
      <c r="B6" s="845" t="s">
        <v>366</v>
      </c>
    </row>
    <row r="7" spans="1:2" s="181" customFormat="1">
      <c r="A7" s="846">
        <f>A4/2</f>
        <v>0.75</v>
      </c>
      <c r="B7" s="847" t="s">
        <v>367</v>
      </c>
    </row>
    <row r="8" spans="1:2" s="181" customFormat="1">
      <c r="A8" s="848">
        <f>PI()</f>
        <v>3.1415926535897931</v>
      </c>
      <c r="B8" s="847" t="s">
        <v>368</v>
      </c>
    </row>
    <row r="9" spans="1:2" s="181" customFormat="1">
      <c r="A9" s="846">
        <f>(A7^2)*A8</f>
        <v>1.7671458676442586</v>
      </c>
      <c r="B9" s="847" t="s">
        <v>369</v>
      </c>
    </row>
    <row r="10" spans="1:2" s="181" customFormat="1">
      <c r="A10" s="849">
        <f>(A9*A3)</f>
        <v>106.02875205865551</v>
      </c>
      <c r="B10" s="847" t="s">
        <v>370</v>
      </c>
    </row>
    <row r="11" spans="1:2" s="181" customFormat="1">
      <c r="A11" s="849">
        <f>A5*A10</f>
        <v>106.02875205865551</v>
      </c>
      <c r="B11" s="847" t="s">
        <v>371</v>
      </c>
    </row>
    <row r="12" spans="1:2" s="181" customFormat="1">
      <c r="A12" s="849">
        <f>A11/231</f>
        <v>0.45899892666084635</v>
      </c>
      <c r="B12" s="847" t="s">
        <v>372</v>
      </c>
    </row>
    <row r="13" spans="1:2" s="181" customFormat="1">
      <c r="A13" s="848">
        <f>A12*A6</f>
        <v>2.2949946333042317</v>
      </c>
      <c r="B13" s="850" t="s">
        <v>373</v>
      </c>
    </row>
    <row r="14" spans="1:2" s="181" customFormat="1">
      <c r="A14" s="848">
        <f>A13*24*60</f>
        <v>3304.7922719580938</v>
      </c>
      <c r="B14" s="850" t="s">
        <v>374</v>
      </c>
    </row>
    <row r="15" spans="1:2" s="180" customFormat="1">
      <c r="A15" s="851">
        <f>A14/42</f>
        <v>78.685530284716521</v>
      </c>
      <c r="B15" s="852" t="s">
        <v>375</v>
      </c>
    </row>
    <row r="16" spans="1:2">
      <c r="A16" s="853">
        <v>0.9</v>
      </c>
      <c r="B16" s="845" t="s">
        <v>376</v>
      </c>
    </row>
    <row r="17" spans="1:2" s="182" customFormat="1">
      <c r="A17" s="854">
        <f>A15*A16</f>
        <v>70.816977256244868</v>
      </c>
      <c r="B17" s="854" t="s">
        <v>377</v>
      </c>
    </row>
    <row r="18" spans="1:2">
      <c r="A18" s="855"/>
      <c r="B18" s="855"/>
    </row>
    <row r="20" spans="1:2">
      <c r="A20" s="379" t="s">
        <v>666</v>
      </c>
      <c r="B20" s="250"/>
    </row>
    <row r="21" spans="1:2" s="183" customFormat="1">
      <c r="A21" s="380" t="s">
        <v>762</v>
      </c>
      <c r="B21" s="184"/>
    </row>
    <row r="22" spans="1:2">
      <c r="A22" s="136" t="s">
        <v>763</v>
      </c>
      <c r="B22" s="250"/>
    </row>
    <row r="23" spans="1:2">
      <c r="A23" s="379" t="s">
        <v>766</v>
      </c>
      <c r="B23" s="250"/>
    </row>
    <row r="24" spans="1:2">
      <c r="A24" s="379" t="s">
        <v>3</v>
      </c>
      <c r="B24" s="250"/>
    </row>
    <row r="25" spans="1:2">
      <c r="A25" s="250"/>
      <c r="B25" s="250"/>
    </row>
    <row r="26" spans="1:2">
      <c r="A26" s="250"/>
      <c r="B26" s="250"/>
    </row>
    <row r="27" spans="1:2">
      <c r="A27" s="250"/>
      <c r="B27" s="250"/>
    </row>
    <row r="28" spans="1:2">
      <c r="A28" s="250"/>
      <c r="B28" s="250"/>
    </row>
    <row r="29" spans="1:2">
      <c r="A29" s="250"/>
      <c r="B29" s="250"/>
    </row>
  </sheetData>
  <sheetProtection algorithmName="SHA-512" hashValue="s65qahkEeKIyekCI2lhZILlosCrZdv4fi7kkGF68kG3FDgt4TOC0XwmnLrm2Kj5rUHcji/E9vCxfp4GVj4ZuHA==" saltValue="BprROjTc+/A7FlbNM7cEEw==" spinCount="100000" sheet="1" objects="1" scenarios="1"/>
  <mergeCells count="1">
    <mergeCell ref="A1:B1"/>
  </mergeCells>
  <pageMargins left="0.78749999999999998" right="0.78749999999999998" top="0.78749999999999998" bottom="0.78749999999999998" header="0.51180555555555551" footer="0.51180555555555551"/>
  <pageSetup firstPageNumber="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Q33"/>
  <sheetViews>
    <sheetView workbookViewId="0">
      <selection activeCell="T23" sqref="T23"/>
    </sheetView>
  </sheetViews>
  <sheetFormatPr defaultRowHeight="12.75"/>
  <cols>
    <col min="1" max="7" width="11" customWidth="1"/>
    <col min="8" max="8" width="11" hidden="1" customWidth="1"/>
    <col min="9" max="11" width="11" customWidth="1"/>
    <col min="12" max="12" width="11" hidden="1" customWidth="1"/>
    <col min="13" max="13" width="11" customWidth="1"/>
    <col min="14" max="15" width="11" hidden="1" customWidth="1"/>
    <col min="16" max="17" width="11" customWidth="1"/>
  </cols>
  <sheetData>
    <row r="1" spans="1:17">
      <c r="P1" s="1231">
        <v>42689</v>
      </c>
      <c r="Q1" s="1232"/>
    </row>
    <row r="2" spans="1:17" ht="15.75">
      <c r="A2" s="1228" t="s">
        <v>477</v>
      </c>
      <c r="B2" s="1229"/>
      <c r="C2" s="1229"/>
      <c r="D2" s="1229"/>
      <c r="E2" s="1229"/>
      <c r="F2" s="1229"/>
      <c r="G2" s="1229"/>
      <c r="H2" s="1229"/>
      <c r="I2" s="1229"/>
      <c r="J2" s="1229"/>
      <c r="K2" s="1229"/>
      <c r="L2" s="1229"/>
      <c r="M2" s="1229"/>
      <c r="N2" s="1229"/>
      <c r="O2" s="1229"/>
      <c r="P2" s="1229"/>
      <c r="Q2" s="1230"/>
    </row>
    <row r="3" spans="1:17" ht="47.25">
      <c r="A3" s="580" t="s">
        <v>252</v>
      </c>
      <c r="B3" s="581" t="s">
        <v>275</v>
      </c>
      <c r="C3" s="580" t="s">
        <v>93</v>
      </c>
      <c r="D3" s="582">
        <v>1.25</v>
      </c>
      <c r="E3" s="582">
        <v>1.75</v>
      </c>
      <c r="F3" s="582">
        <v>2.5</v>
      </c>
      <c r="G3" s="582" t="s">
        <v>478</v>
      </c>
      <c r="H3" s="582" t="s">
        <v>789</v>
      </c>
      <c r="I3" s="580" t="s">
        <v>482</v>
      </c>
      <c r="J3" s="580" t="s">
        <v>479</v>
      </c>
      <c r="K3" s="580" t="s">
        <v>480</v>
      </c>
      <c r="L3" s="580" t="s">
        <v>782</v>
      </c>
      <c r="M3" s="580" t="s">
        <v>481</v>
      </c>
      <c r="N3" s="580" t="s">
        <v>782</v>
      </c>
      <c r="O3" s="580" t="s">
        <v>483</v>
      </c>
      <c r="P3" s="580" t="s">
        <v>484</v>
      </c>
      <c r="Q3" s="580" t="s">
        <v>485</v>
      </c>
    </row>
    <row r="4" spans="1:17" ht="15.75">
      <c r="A4" s="583" t="s">
        <v>486</v>
      </c>
      <c r="B4" s="584">
        <f>0.5*0.746</f>
        <v>0.373</v>
      </c>
      <c r="C4" s="584">
        <v>1.1000000000000001</v>
      </c>
      <c r="D4" s="584">
        <f t="shared" ref="D4:D27" si="0">C4*1.25</f>
        <v>1.375</v>
      </c>
      <c r="E4" s="584">
        <f t="shared" ref="E4:E27" si="1">C4*1.75</f>
        <v>1.9250000000000003</v>
      </c>
      <c r="F4" s="584">
        <f t="shared" ref="F4:F27" si="2">C4*2.5</f>
        <v>2.75</v>
      </c>
      <c r="G4" s="585">
        <v>3</v>
      </c>
      <c r="H4" s="585">
        <v>3</v>
      </c>
      <c r="I4" s="583">
        <v>30</v>
      </c>
      <c r="J4" s="583" t="s">
        <v>487</v>
      </c>
      <c r="K4" s="583">
        <v>14</v>
      </c>
      <c r="L4" s="586">
        <v>9.7000000000000003E-3</v>
      </c>
      <c r="M4" s="583">
        <v>14</v>
      </c>
      <c r="N4" s="990">
        <v>9.7000000000000003E-3</v>
      </c>
      <c r="O4" s="990">
        <f t="shared" ref="O4:O27" si="3">(3*L4)+N4</f>
        <v>3.8800000000000001E-2</v>
      </c>
      <c r="P4" s="583" t="s">
        <v>486</v>
      </c>
      <c r="Q4" s="583" t="s">
        <v>486</v>
      </c>
    </row>
    <row r="5" spans="1:17" ht="15.75">
      <c r="A5" s="587" t="s">
        <v>488</v>
      </c>
      <c r="B5" s="588">
        <f>0.75*0.746</f>
        <v>0.5595</v>
      </c>
      <c r="C5" s="588">
        <v>1.6</v>
      </c>
      <c r="D5" s="588">
        <f t="shared" si="0"/>
        <v>2</v>
      </c>
      <c r="E5" s="588">
        <f t="shared" si="1"/>
        <v>2.8000000000000003</v>
      </c>
      <c r="F5" s="588">
        <f t="shared" si="2"/>
        <v>4</v>
      </c>
      <c r="G5" s="589">
        <v>3</v>
      </c>
      <c r="H5" s="589">
        <v>6</v>
      </c>
      <c r="I5" s="587">
        <v>30</v>
      </c>
      <c r="J5" s="587" t="s">
        <v>487</v>
      </c>
      <c r="K5" s="587">
        <v>14</v>
      </c>
      <c r="L5" s="590">
        <v>9.7000000000000003E-3</v>
      </c>
      <c r="M5" s="587">
        <v>14</v>
      </c>
      <c r="N5" s="991">
        <v>9.7000000000000003E-3</v>
      </c>
      <c r="O5" s="991">
        <f t="shared" si="3"/>
        <v>3.8800000000000001E-2</v>
      </c>
      <c r="P5" s="587" t="s">
        <v>486</v>
      </c>
      <c r="Q5" s="587" t="s">
        <v>486</v>
      </c>
    </row>
    <row r="6" spans="1:17" ht="15.75">
      <c r="A6" s="583">
        <v>1</v>
      </c>
      <c r="B6" s="584">
        <f>A6*0.746</f>
        <v>0.746</v>
      </c>
      <c r="C6" s="584">
        <v>2.1</v>
      </c>
      <c r="D6" s="584">
        <f t="shared" si="0"/>
        <v>2.625</v>
      </c>
      <c r="E6" s="584">
        <f t="shared" si="1"/>
        <v>3.6750000000000003</v>
      </c>
      <c r="F6" s="584">
        <f t="shared" si="2"/>
        <v>5.25</v>
      </c>
      <c r="G6" s="585">
        <v>6</v>
      </c>
      <c r="H6" s="585">
        <v>6</v>
      </c>
      <c r="I6" s="583">
        <v>30</v>
      </c>
      <c r="J6" s="583" t="s">
        <v>487</v>
      </c>
      <c r="K6" s="583">
        <v>14</v>
      </c>
      <c r="L6" s="586">
        <v>9.7000000000000003E-3</v>
      </c>
      <c r="M6" s="583">
        <v>14</v>
      </c>
      <c r="N6" s="990">
        <v>9.7000000000000003E-3</v>
      </c>
      <c r="O6" s="990">
        <f t="shared" si="3"/>
        <v>3.8800000000000001E-2</v>
      </c>
      <c r="P6" s="583" t="s">
        <v>486</v>
      </c>
      <c r="Q6" s="583" t="s">
        <v>486</v>
      </c>
    </row>
    <row r="7" spans="1:17" ht="15.75">
      <c r="A7" s="587" t="s">
        <v>474</v>
      </c>
      <c r="B7" s="588">
        <f>1.5*0.746</f>
        <v>1.119</v>
      </c>
      <c r="C7" s="588">
        <v>3</v>
      </c>
      <c r="D7" s="588">
        <f t="shared" si="0"/>
        <v>3.75</v>
      </c>
      <c r="E7" s="588">
        <f t="shared" si="1"/>
        <v>5.25</v>
      </c>
      <c r="F7" s="588">
        <f t="shared" si="2"/>
        <v>7.5</v>
      </c>
      <c r="G7" s="589">
        <v>6</v>
      </c>
      <c r="H7" s="589">
        <v>10</v>
      </c>
      <c r="I7" s="587">
        <v>30</v>
      </c>
      <c r="J7" s="587" t="s">
        <v>487</v>
      </c>
      <c r="K7" s="587">
        <v>14</v>
      </c>
      <c r="L7" s="590">
        <v>9.7000000000000003E-3</v>
      </c>
      <c r="M7" s="587">
        <v>14</v>
      </c>
      <c r="N7" s="991">
        <v>9.7000000000000003E-3</v>
      </c>
      <c r="O7" s="991">
        <f t="shared" si="3"/>
        <v>3.8800000000000001E-2</v>
      </c>
      <c r="P7" s="587" t="s">
        <v>486</v>
      </c>
      <c r="Q7" s="587" t="s">
        <v>486</v>
      </c>
    </row>
    <row r="8" spans="1:17" ht="15.75">
      <c r="A8" s="583">
        <v>2</v>
      </c>
      <c r="B8" s="584">
        <f>A8*0.746</f>
        <v>1.492</v>
      </c>
      <c r="C8" s="584">
        <v>3.4</v>
      </c>
      <c r="D8" s="584">
        <f t="shared" si="0"/>
        <v>4.25</v>
      </c>
      <c r="E8" s="584">
        <f t="shared" si="1"/>
        <v>5.95</v>
      </c>
      <c r="F8" s="584">
        <f t="shared" si="2"/>
        <v>8.5</v>
      </c>
      <c r="G8" s="585">
        <v>6</v>
      </c>
      <c r="H8" s="585">
        <v>10</v>
      </c>
      <c r="I8" s="583">
        <v>30</v>
      </c>
      <c r="J8" s="583" t="s">
        <v>487</v>
      </c>
      <c r="K8" s="583">
        <v>14</v>
      </c>
      <c r="L8" s="586">
        <v>9.7000000000000003E-3</v>
      </c>
      <c r="M8" s="583">
        <v>14</v>
      </c>
      <c r="N8" s="990">
        <v>9.7000000000000003E-3</v>
      </c>
      <c r="O8" s="990">
        <f t="shared" si="3"/>
        <v>3.8800000000000001E-2</v>
      </c>
      <c r="P8" s="583" t="s">
        <v>486</v>
      </c>
      <c r="Q8" s="583" t="s">
        <v>486</v>
      </c>
    </row>
    <row r="9" spans="1:17" ht="15.75">
      <c r="A9" s="587">
        <v>3</v>
      </c>
      <c r="B9" s="588">
        <f>A9*0.746</f>
        <v>2.238</v>
      </c>
      <c r="C9" s="588">
        <v>4.8</v>
      </c>
      <c r="D9" s="588">
        <f t="shared" si="0"/>
        <v>6</v>
      </c>
      <c r="E9" s="588">
        <f t="shared" si="1"/>
        <v>8.4</v>
      </c>
      <c r="F9" s="589">
        <f t="shared" si="2"/>
        <v>12</v>
      </c>
      <c r="G9" s="589">
        <v>10</v>
      </c>
      <c r="H9" s="589">
        <v>15</v>
      </c>
      <c r="I9" s="587">
        <v>30</v>
      </c>
      <c r="J9" s="587" t="s">
        <v>489</v>
      </c>
      <c r="K9" s="587">
        <v>14</v>
      </c>
      <c r="L9" s="590">
        <v>9.7000000000000003E-3</v>
      </c>
      <c r="M9" s="587">
        <v>14</v>
      </c>
      <c r="N9" s="991">
        <v>9.7000000000000003E-3</v>
      </c>
      <c r="O9" s="991">
        <f t="shared" si="3"/>
        <v>3.8800000000000001E-2</v>
      </c>
      <c r="P9" s="587" t="s">
        <v>486</v>
      </c>
      <c r="Q9" s="587" t="s">
        <v>486</v>
      </c>
    </row>
    <row r="10" spans="1:17" ht="15.75">
      <c r="A10" s="583">
        <v>5</v>
      </c>
      <c r="B10" s="584">
        <f>A10*0.746</f>
        <v>3.73</v>
      </c>
      <c r="C10" s="584">
        <v>7.6</v>
      </c>
      <c r="D10" s="585">
        <f t="shared" si="0"/>
        <v>9.5</v>
      </c>
      <c r="E10" s="585">
        <f t="shared" si="1"/>
        <v>13.299999999999999</v>
      </c>
      <c r="F10" s="585">
        <f t="shared" si="2"/>
        <v>19</v>
      </c>
      <c r="G10" s="585">
        <v>15</v>
      </c>
      <c r="H10" s="585">
        <v>20</v>
      </c>
      <c r="I10" s="583">
        <v>30</v>
      </c>
      <c r="J10" s="583" t="s">
        <v>489</v>
      </c>
      <c r="K10" s="583">
        <v>14</v>
      </c>
      <c r="L10" s="586">
        <v>9.7000000000000003E-3</v>
      </c>
      <c r="M10" s="583">
        <v>14</v>
      </c>
      <c r="N10" s="990">
        <v>9.7000000000000003E-3</v>
      </c>
      <c r="O10" s="990">
        <f t="shared" si="3"/>
        <v>3.8800000000000001E-2</v>
      </c>
      <c r="P10" s="583" t="s">
        <v>486</v>
      </c>
      <c r="Q10" s="583" t="s">
        <v>486</v>
      </c>
    </row>
    <row r="11" spans="1:17" ht="15.75">
      <c r="A11" s="587" t="s">
        <v>476</v>
      </c>
      <c r="B11" s="588">
        <f>7.5*0.746</f>
        <v>5.5949999999999998</v>
      </c>
      <c r="C11" s="589">
        <v>11</v>
      </c>
      <c r="D11" s="589">
        <f t="shared" si="0"/>
        <v>13.75</v>
      </c>
      <c r="E11" s="589">
        <f t="shared" si="1"/>
        <v>19.25</v>
      </c>
      <c r="F11" s="589">
        <f t="shared" si="2"/>
        <v>27.5</v>
      </c>
      <c r="G11" s="589">
        <v>20</v>
      </c>
      <c r="H11" s="589">
        <v>30</v>
      </c>
      <c r="I11" s="587">
        <v>30</v>
      </c>
      <c r="J11" s="587">
        <v>1</v>
      </c>
      <c r="K11" s="587">
        <v>14</v>
      </c>
      <c r="L11" s="590">
        <v>9.7000000000000003E-3</v>
      </c>
      <c r="M11" s="587">
        <v>14</v>
      </c>
      <c r="N11" s="991">
        <v>9.7000000000000003E-3</v>
      </c>
      <c r="O11" s="991">
        <f t="shared" si="3"/>
        <v>3.8800000000000001E-2</v>
      </c>
      <c r="P11" s="587" t="s">
        <v>486</v>
      </c>
      <c r="Q11" s="587" t="s">
        <v>486</v>
      </c>
    </row>
    <row r="12" spans="1:17" ht="15.75">
      <c r="A12" s="583">
        <v>10</v>
      </c>
      <c r="B12" s="584">
        <f t="shared" ref="B12:B27" si="4">A12*0.746</f>
        <v>7.46</v>
      </c>
      <c r="C12" s="585">
        <v>14</v>
      </c>
      <c r="D12" s="585">
        <f t="shared" si="0"/>
        <v>17.5</v>
      </c>
      <c r="E12" s="585">
        <f t="shared" si="1"/>
        <v>24.5</v>
      </c>
      <c r="F12" s="585">
        <f t="shared" si="2"/>
        <v>35</v>
      </c>
      <c r="G12" s="585">
        <v>25</v>
      </c>
      <c r="H12" s="585">
        <v>40</v>
      </c>
      <c r="I12" s="583">
        <v>30</v>
      </c>
      <c r="J12" s="583">
        <v>1</v>
      </c>
      <c r="K12" s="583">
        <v>12</v>
      </c>
      <c r="L12" s="586">
        <v>1.3300000000000001E-2</v>
      </c>
      <c r="M12" s="583">
        <v>12</v>
      </c>
      <c r="N12" s="990">
        <v>9.7000000000000003E-3</v>
      </c>
      <c r="O12" s="990">
        <f t="shared" si="3"/>
        <v>4.9600000000000005E-2</v>
      </c>
      <c r="P12" s="583" t="s">
        <v>486</v>
      </c>
      <c r="Q12" s="583" t="s">
        <v>486</v>
      </c>
    </row>
    <row r="13" spans="1:17" ht="15.75">
      <c r="A13" s="587">
        <v>15</v>
      </c>
      <c r="B13" s="588">
        <f t="shared" si="4"/>
        <v>11.19</v>
      </c>
      <c r="C13" s="589">
        <v>21</v>
      </c>
      <c r="D13" s="589">
        <f t="shared" si="0"/>
        <v>26.25</v>
      </c>
      <c r="E13" s="589">
        <f t="shared" si="1"/>
        <v>36.75</v>
      </c>
      <c r="F13" s="589">
        <f t="shared" si="2"/>
        <v>52.5</v>
      </c>
      <c r="G13" s="589">
        <v>40</v>
      </c>
      <c r="H13" s="589">
        <v>60</v>
      </c>
      <c r="I13" s="587">
        <v>60</v>
      </c>
      <c r="J13" s="587">
        <v>2</v>
      </c>
      <c r="K13" s="587">
        <v>10</v>
      </c>
      <c r="L13" s="590">
        <v>2.1100000000000001E-2</v>
      </c>
      <c r="M13" s="587">
        <v>12</v>
      </c>
      <c r="N13" s="991">
        <v>1.3300000000000001E-2</v>
      </c>
      <c r="O13" s="991">
        <f t="shared" si="3"/>
        <v>7.6600000000000001E-2</v>
      </c>
      <c r="P13" s="587" t="s">
        <v>486</v>
      </c>
      <c r="Q13" s="587" t="s">
        <v>486</v>
      </c>
    </row>
    <row r="14" spans="1:17" ht="15.75">
      <c r="A14" s="583">
        <v>20</v>
      </c>
      <c r="B14" s="584">
        <f t="shared" si="4"/>
        <v>14.92</v>
      </c>
      <c r="C14" s="585">
        <v>27</v>
      </c>
      <c r="D14" s="585">
        <f t="shared" si="0"/>
        <v>33.75</v>
      </c>
      <c r="E14" s="585">
        <f t="shared" si="1"/>
        <v>47.25</v>
      </c>
      <c r="F14" s="585">
        <f t="shared" si="2"/>
        <v>67.5</v>
      </c>
      <c r="G14" s="585">
        <v>50</v>
      </c>
      <c r="H14" s="585">
        <v>70</v>
      </c>
      <c r="I14" s="583">
        <v>60</v>
      </c>
      <c r="J14" s="583">
        <v>2</v>
      </c>
      <c r="K14" s="583">
        <v>8</v>
      </c>
      <c r="L14" s="586">
        <v>3.6600000000000001E-2</v>
      </c>
      <c r="M14" s="583">
        <v>10</v>
      </c>
      <c r="N14" s="990">
        <v>2.1100000000000001E-2</v>
      </c>
      <c r="O14" s="990">
        <f t="shared" si="3"/>
        <v>0.13090000000000002</v>
      </c>
      <c r="P14" s="583" t="s">
        <v>488</v>
      </c>
      <c r="Q14" s="583" t="s">
        <v>488</v>
      </c>
    </row>
    <row r="15" spans="1:17" ht="15.75">
      <c r="A15" s="587">
        <v>25</v>
      </c>
      <c r="B15" s="588">
        <f t="shared" si="4"/>
        <v>18.649999999999999</v>
      </c>
      <c r="C15" s="589">
        <v>34</v>
      </c>
      <c r="D15" s="589">
        <f t="shared" si="0"/>
        <v>42.5</v>
      </c>
      <c r="E15" s="589">
        <f t="shared" si="1"/>
        <v>59.5</v>
      </c>
      <c r="F15" s="589">
        <f t="shared" si="2"/>
        <v>85</v>
      </c>
      <c r="G15" s="589">
        <v>60</v>
      </c>
      <c r="H15" s="589">
        <v>90</v>
      </c>
      <c r="I15" s="587">
        <v>60</v>
      </c>
      <c r="J15" s="587">
        <v>2</v>
      </c>
      <c r="K15" s="587">
        <v>6</v>
      </c>
      <c r="L15" s="590">
        <v>5.0700000000000002E-2</v>
      </c>
      <c r="M15" s="587">
        <v>10</v>
      </c>
      <c r="N15" s="991">
        <v>2.1100000000000001E-2</v>
      </c>
      <c r="O15" s="991">
        <f t="shared" si="3"/>
        <v>0.17320000000000002</v>
      </c>
      <c r="P15" s="587" t="s">
        <v>488</v>
      </c>
      <c r="Q15" s="587">
        <v>1</v>
      </c>
    </row>
    <row r="16" spans="1:17" ht="15.75">
      <c r="A16" s="583">
        <v>30</v>
      </c>
      <c r="B16" s="584">
        <f t="shared" si="4"/>
        <v>22.38</v>
      </c>
      <c r="C16" s="585">
        <v>40</v>
      </c>
      <c r="D16" s="585">
        <f t="shared" si="0"/>
        <v>50</v>
      </c>
      <c r="E16" s="585">
        <f t="shared" si="1"/>
        <v>70</v>
      </c>
      <c r="F16" s="585">
        <f t="shared" si="2"/>
        <v>100</v>
      </c>
      <c r="G16" s="585">
        <v>70</v>
      </c>
      <c r="H16" s="585">
        <v>100</v>
      </c>
      <c r="I16" s="583">
        <v>100</v>
      </c>
      <c r="J16" s="583">
        <v>3</v>
      </c>
      <c r="K16" s="583">
        <v>6</v>
      </c>
      <c r="L16" s="586">
        <v>5.0700000000000002E-2</v>
      </c>
      <c r="M16" s="583">
        <v>8</v>
      </c>
      <c r="N16" s="990">
        <v>3.6600000000000001E-2</v>
      </c>
      <c r="O16" s="990">
        <f t="shared" si="3"/>
        <v>0.18870000000000001</v>
      </c>
      <c r="P16" s="583" t="s">
        <v>488</v>
      </c>
      <c r="Q16" s="583">
        <v>1</v>
      </c>
    </row>
    <row r="17" spans="1:17" ht="15.75">
      <c r="A17" s="587">
        <v>40</v>
      </c>
      <c r="B17" s="588">
        <f t="shared" si="4"/>
        <v>29.84</v>
      </c>
      <c r="C17" s="589">
        <v>52</v>
      </c>
      <c r="D17" s="589">
        <f t="shared" si="0"/>
        <v>65</v>
      </c>
      <c r="E17" s="589">
        <f t="shared" si="1"/>
        <v>91</v>
      </c>
      <c r="F17" s="589">
        <f t="shared" si="2"/>
        <v>130</v>
      </c>
      <c r="G17" s="589">
        <v>100</v>
      </c>
      <c r="H17" s="589">
        <v>150</v>
      </c>
      <c r="I17" s="587">
        <v>100</v>
      </c>
      <c r="J17" s="587">
        <v>3</v>
      </c>
      <c r="K17" s="587">
        <v>4</v>
      </c>
      <c r="L17" s="590">
        <v>8.2400000000000001E-2</v>
      </c>
      <c r="M17" s="587">
        <v>8</v>
      </c>
      <c r="N17" s="991">
        <v>3.6600000000000001E-2</v>
      </c>
      <c r="O17" s="991">
        <f t="shared" si="3"/>
        <v>0.2838</v>
      </c>
      <c r="P17" s="587">
        <v>1</v>
      </c>
      <c r="Q17" s="587" t="s">
        <v>490</v>
      </c>
    </row>
    <row r="18" spans="1:17" ht="15.75">
      <c r="A18" s="583">
        <v>50</v>
      </c>
      <c r="B18" s="584">
        <f t="shared" si="4"/>
        <v>37.299999999999997</v>
      </c>
      <c r="C18" s="585">
        <v>65</v>
      </c>
      <c r="D18" s="585">
        <f t="shared" si="0"/>
        <v>81.25</v>
      </c>
      <c r="E18" s="585">
        <f t="shared" si="1"/>
        <v>113.75</v>
      </c>
      <c r="F18" s="585">
        <f t="shared" si="2"/>
        <v>162.5</v>
      </c>
      <c r="G18" s="585">
        <v>125</v>
      </c>
      <c r="H18" s="585">
        <v>175</v>
      </c>
      <c r="I18" s="583">
        <v>200</v>
      </c>
      <c r="J18" s="583">
        <v>3</v>
      </c>
      <c r="K18" s="583">
        <v>3</v>
      </c>
      <c r="L18" s="586">
        <v>9.7300000000000011E-2</v>
      </c>
      <c r="M18" s="583">
        <v>6</v>
      </c>
      <c r="N18" s="990">
        <v>5.0700000000000002E-2</v>
      </c>
      <c r="O18" s="990">
        <f t="shared" si="3"/>
        <v>0.34260000000000007</v>
      </c>
      <c r="P18" s="583">
        <v>1</v>
      </c>
      <c r="Q18" s="583" t="s">
        <v>490</v>
      </c>
    </row>
    <row r="19" spans="1:17" ht="15.75">
      <c r="A19" s="587">
        <v>60</v>
      </c>
      <c r="B19" s="588">
        <f t="shared" si="4"/>
        <v>44.76</v>
      </c>
      <c r="C19" s="589">
        <v>77</v>
      </c>
      <c r="D19" s="589">
        <f t="shared" si="0"/>
        <v>96.25</v>
      </c>
      <c r="E19" s="589">
        <f t="shared" si="1"/>
        <v>134.75</v>
      </c>
      <c r="F19" s="589">
        <f t="shared" si="2"/>
        <v>192.5</v>
      </c>
      <c r="G19" s="589">
        <v>150</v>
      </c>
      <c r="H19" s="589">
        <v>200</v>
      </c>
      <c r="I19" s="587">
        <v>200</v>
      </c>
      <c r="J19" s="587">
        <v>4</v>
      </c>
      <c r="K19" s="587">
        <v>1</v>
      </c>
      <c r="L19" s="590">
        <v>0.15620000000000001</v>
      </c>
      <c r="M19" s="587">
        <v>6</v>
      </c>
      <c r="N19" s="991">
        <v>5.0700000000000002E-2</v>
      </c>
      <c r="O19" s="991">
        <f t="shared" si="3"/>
        <v>0.51929999999999998</v>
      </c>
      <c r="P19" s="587" t="s">
        <v>490</v>
      </c>
      <c r="Q19" s="587">
        <v>2</v>
      </c>
    </row>
    <row r="20" spans="1:17" ht="15.75">
      <c r="A20" s="583">
        <v>75</v>
      </c>
      <c r="B20" s="584">
        <f t="shared" si="4"/>
        <v>55.95</v>
      </c>
      <c r="C20" s="585">
        <v>96</v>
      </c>
      <c r="D20" s="585">
        <f t="shared" si="0"/>
        <v>120</v>
      </c>
      <c r="E20" s="585">
        <f t="shared" si="1"/>
        <v>168</v>
      </c>
      <c r="F20" s="585">
        <f t="shared" si="2"/>
        <v>240</v>
      </c>
      <c r="G20" s="585">
        <v>175</v>
      </c>
      <c r="H20" s="585">
        <v>250</v>
      </c>
      <c r="I20" s="583">
        <v>200</v>
      </c>
      <c r="J20" s="583">
        <v>4</v>
      </c>
      <c r="K20" s="583">
        <v>1</v>
      </c>
      <c r="L20" s="586">
        <v>0.15620000000000001</v>
      </c>
      <c r="M20" s="583">
        <v>6</v>
      </c>
      <c r="N20" s="990">
        <v>5.0700000000000002E-2</v>
      </c>
      <c r="O20" s="990">
        <f t="shared" si="3"/>
        <v>0.51929999999999998</v>
      </c>
      <c r="P20" s="583" t="s">
        <v>490</v>
      </c>
      <c r="Q20" s="583">
        <v>2</v>
      </c>
    </row>
    <row r="21" spans="1:17" ht="15.75">
      <c r="A21" s="587">
        <v>100</v>
      </c>
      <c r="B21" s="588">
        <f t="shared" si="4"/>
        <v>74.599999999999994</v>
      </c>
      <c r="C21" s="589">
        <v>124</v>
      </c>
      <c r="D21" s="589">
        <f t="shared" si="0"/>
        <v>155</v>
      </c>
      <c r="E21" s="589">
        <f t="shared" si="1"/>
        <v>217</v>
      </c>
      <c r="F21" s="589">
        <f t="shared" si="2"/>
        <v>310</v>
      </c>
      <c r="G21" s="589">
        <v>225</v>
      </c>
      <c r="H21" s="589">
        <v>350</v>
      </c>
      <c r="I21" s="587">
        <v>400</v>
      </c>
      <c r="J21" s="587">
        <v>4</v>
      </c>
      <c r="K21" s="587" t="s">
        <v>20</v>
      </c>
      <c r="L21" s="590">
        <v>0.2223</v>
      </c>
      <c r="M21" s="587">
        <v>4</v>
      </c>
      <c r="N21" s="991">
        <v>8.2400000000000001E-2</v>
      </c>
      <c r="O21" s="991">
        <f t="shared" si="3"/>
        <v>0.74930000000000008</v>
      </c>
      <c r="P21" s="587" t="s">
        <v>474</v>
      </c>
      <c r="Q21" s="587">
        <v>2</v>
      </c>
    </row>
    <row r="22" spans="1:17" ht="15.75">
      <c r="A22" s="583">
        <v>125</v>
      </c>
      <c r="B22" s="584">
        <f t="shared" si="4"/>
        <v>93.25</v>
      </c>
      <c r="C22" s="585">
        <v>156</v>
      </c>
      <c r="D22" s="585">
        <f t="shared" si="0"/>
        <v>195</v>
      </c>
      <c r="E22" s="585">
        <f t="shared" si="1"/>
        <v>273</v>
      </c>
      <c r="F22" s="585">
        <f t="shared" si="2"/>
        <v>390</v>
      </c>
      <c r="G22" s="585">
        <v>300</v>
      </c>
      <c r="H22" s="585">
        <v>400</v>
      </c>
      <c r="I22" s="583">
        <v>400</v>
      </c>
      <c r="J22" s="583">
        <v>5</v>
      </c>
      <c r="K22" s="583" t="s">
        <v>22</v>
      </c>
      <c r="L22" s="586">
        <v>0.26790000000000003</v>
      </c>
      <c r="M22" s="583">
        <v>4</v>
      </c>
      <c r="N22" s="990">
        <v>8.2400000000000001E-2</v>
      </c>
      <c r="O22" s="990">
        <f t="shared" si="3"/>
        <v>0.88610000000000011</v>
      </c>
      <c r="P22" s="583">
        <v>2</v>
      </c>
      <c r="Q22" s="583" t="s">
        <v>491</v>
      </c>
    </row>
    <row r="23" spans="1:17" ht="15.75">
      <c r="A23" s="587">
        <v>150</v>
      </c>
      <c r="B23" s="589">
        <f t="shared" si="4"/>
        <v>111.9</v>
      </c>
      <c r="C23" s="589">
        <v>180</v>
      </c>
      <c r="D23" s="589">
        <f t="shared" si="0"/>
        <v>225</v>
      </c>
      <c r="E23" s="589">
        <f t="shared" si="1"/>
        <v>315</v>
      </c>
      <c r="F23" s="589">
        <f t="shared" si="2"/>
        <v>450</v>
      </c>
      <c r="G23" s="589">
        <v>350</v>
      </c>
      <c r="H23" s="589">
        <v>450</v>
      </c>
      <c r="I23" s="587">
        <v>400</v>
      </c>
      <c r="J23" s="587">
        <v>5</v>
      </c>
      <c r="K23" s="587" t="s">
        <v>23</v>
      </c>
      <c r="L23" s="590">
        <v>0.32370000000000004</v>
      </c>
      <c r="M23" s="587">
        <v>3</v>
      </c>
      <c r="N23" s="991">
        <v>9.7300000000000011E-2</v>
      </c>
      <c r="O23" s="991">
        <f t="shared" si="3"/>
        <v>1.0684</v>
      </c>
      <c r="P23" s="587">
        <v>2</v>
      </c>
      <c r="Q23" s="587" t="s">
        <v>491</v>
      </c>
    </row>
    <row r="24" spans="1:17" ht="15.75">
      <c r="A24" s="583">
        <v>200</v>
      </c>
      <c r="B24" s="585">
        <f t="shared" si="4"/>
        <v>149.19999999999999</v>
      </c>
      <c r="C24" s="585">
        <v>240</v>
      </c>
      <c r="D24" s="585">
        <f t="shared" si="0"/>
        <v>300</v>
      </c>
      <c r="E24" s="585">
        <f t="shared" si="1"/>
        <v>420</v>
      </c>
      <c r="F24" s="585">
        <f t="shared" si="2"/>
        <v>600</v>
      </c>
      <c r="G24" s="585">
        <v>450</v>
      </c>
      <c r="H24" s="585">
        <v>600</v>
      </c>
      <c r="I24" s="583">
        <v>600</v>
      </c>
      <c r="J24" s="583">
        <v>5</v>
      </c>
      <c r="K24" s="583">
        <v>350</v>
      </c>
      <c r="L24" s="586">
        <v>0.5242</v>
      </c>
      <c r="M24" s="583">
        <v>2</v>
      </c>
      <c r="N24" s="990">
        <v>0.1158</v>
      </c>
      <c r="O24" s="990">
        <f t="shared" si="3"/>
        <v>1.6883999999999999</v>
      </c>
      <c r="P24" s="583" t="s">
        <v>491</v>
      </c>
      <c r="Q24" s="583">
        <v>3</v>
      </c>
    </row>
    <row r="25" spans="1:17" ht="15.75">
      <c r="A25" s="587">
        <v>250</v>
      </c>
      <c r="B25" s="589">
        <f t="shared" si="4"/>
        <v>186.5</v>
      </c>
      <c r="C25" s="589">
        <v>302</v>
      </c>
      <c r="D25" s="589">
        <f t="shared" si="0"/>
        <v>377.5</v>
      </c>
      <c r="E25" s="589">
        <f t="shared" si="1"/>
        <v>528.5</v>
      </c>
      <c r="F25" s="589">
        <f t="shared" si="2"/>
        <v>755</v>
      </c>
      <c r="G25" s="589">
        <v>600</v>
      </c>
      <c r="H25" s="589">
        <v>800</v>
      </c>
      <c r="I25" s="587">
        <v>600</v>
      </c>
      <c r="J25" s="587">
        <v>6</v>
      </c>
      <c r="K25" s="587">
        <v>500</v>
      </c>
      <c r="L25" s="590">
        <v>0.70730000000000004</v>
      </c>
      <c r="M25" s="587">
        <v>1</v>
      </c>
      <c r="N25" s="991">
        <v>0.15620000000000001</v>
      </c>
      <c r="O25" s="991">
        <f t="shared" si="3"/>
        <v>2.2781000000000002</v>
      </c>
      <c r="P25" s="587">
        <v>3</v>
      </c>
      <c r="Q25" s="587" t="s">
        <v>492</v>
      </c>
    </row>
    <row r="26" spans="1:17" ht="15.75">
      <c r="A26" s="583">
        <v>300</v>
      </c>
      <c r="B26" s="585">
        <f t="shared" si="4"/>
        <v>223.8</v>
      </c>
      <c r="C26" s="585">
        <v>361</v>
      </c>
      <c r="D26" s="585">
        <f t="shared" si="0"/>
        <v>451.25</v>
      </c>
      <c r="E26" s="585">
        <f t="shared" si="1"/>
        <v>631.75</v>
      </c>
      <c r="F26" s="585">
        <f t="shared" si="2"/>
        <v>902.5</v>
      </c>
      <c r="G26" s="585">
        <v>700</v>
      </c>
      <c r="H26" s="585">
        <v>1000</v>
      </c>
      <c r="I26" s="583">
        <v>800</v>
      </c>
      <c r="J26" s="583">
        <v>6</v>
      </c>
      <c r="K26" s="583">
        <v>700</v>
      </c>
      <c r="L26" s="586">
        <v>0.98870000000000002</v>
      </c>
      <c r="M26" s="583" t="s">
        <v>18</v>
      </c>
      <c r="N26" s="990">
        <v>0.1855</v>
      </c>
      <c r="O26" s="990">
        <f t="shared" si="3"/>
        <v>3.1516000000000002</v>
      </c>
      <c r="P26" s="583" t="s">
        <v>492</v>
      </c>
      <c r="Q26" s="583">
        <v>4</v>
      </c>
    </row>
    <row r="27" spans="1:17" ht="15.75">
      <c r="A27" s="587">
        <v>350</v>
      </c>
      <c r="B27" s="589">
        <f t="shared" si="4"/>
        <v>261.10000000000002</v>
      </c>
      <c r="C27" s="589">
        <v>414</v>
      </c>
      <c r="D27" s="589">
        <f t="shared" si="0"/>
        <v>517.5</v>
      </c>
      <c r="E27" s="589">
        <f t="shared" si="1"/>
        <v>724.5</v>
      </c>
      <c r="F27" s="589">
        <f t="shared" si="2"/>
        <v>1035</v>
      </c>
      <c r="G27" s="589">
        <v>800</v>
      </c>
      <c r="H27" s="589">
        <v>1200</v>
      </c>
      <c r="I27" s="587">
        <v>800</v>
      </c>
      <c r="J27" s="587">
        <v>6</v>
      </c>
      <c r="K27" s="587">
        <v>900</v>
      </c>
      <c r="L27" s="590">
        <v>1.2311000000000001</v>
      </c>
      <c r="M27" s="587" t="s">
        <v>18</v>
      </c>
      <c r="N27" s="991">
        <v>0.1855</v>
      </c>
      <c r="O27" s="991">
        <f t="shared" si="3"/>
        <v>3.8788</v>
      </c>
      <c r="P27" s="587" t="s">
        <v>492</v>
      </c>
      <c r="Q27" s="587">
        <v>5</v>
      </c>
    </row>
    <row r="29" spans="1:17">
      <c r="A29" s="565" t="s">
        <v>666</v>
      </c>
    </row>
    <row r="30" spans="1:17">
      <c r="A30" s="566" t="s">
        <v>762</v>
      </c>
    </row>
    <row r="31" spans="1:17">
      <c r="A31" s="566" t="s">
        <v>763</v>
      </c>
    </row>
    <row r="32" spans="1:17">
      <c r="A32" s="565" t="s">
        <v>788</v>
      </c>
    </row>
    <row r="33" spans="1:1">
      <c r="A33" s="565" t="s">
        <v>3</v>
      </c>
    </row>
  </sheetData>
  <sheetProtection algorithmName="SHA-512" hashValue="0+KXSEUbRQKmbx2Mu6QHp8l2aOymudDcPkmPXvscuCwxlRpDkmmLymBkePWDyhQych8dgWbHQFfw2uRPAUksWQ==" saltValue="nO+Wojg790NqumngLjWvkw==" spinCount="100000" sheet="1" objects="1" scenarios="1"/>
  <mergeCells count="2">
    <mergeCell ref="A2:Q2"/>
    <mergeCell ref="P1:Q1"/>
  </mergeCells>
  <pageMargins left="0.7" right="0.7" top="0.75" bottom="0.75" header="0.3" footer="0.3"/>
  <pageSetup scale="87" orientation="landscape"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e q 5 T S Q M C A m a o A A A A + Q A A A B I A H A B D b 2 5 m a W c v U G F j a 2 F n Z S 5 4 b W w g o h g A K K A U A A A A A A A A A A A A A A A A A A A A A A A A A A A A h Y 9 B D o I w F E S v Q r q n L Y W o I Z + y c C u J C d G 4 b W q F R i i G F s v d X H g k r y C J o u 5 c z u R N 8 u Z x u 0 M + t k 1 w V b 3 V n c l Q h C k K l J H d U Z s q Q 4 M 7 h S u U c 9 g K e R a V C i b Y 2 H S 0 O k O 1 c 5 e U E O 8 9 9 j H u + o o w S i N y K D a l r F U r Q m 2 s E 0 Y q 9 F k d / 6 8 Q h / 1 L h j M c U 5 y w Z I G j J Y u A z D 0 U 2 n w Z N i l j C u S n h P X Q u K F X X J l w V w K Z I 5 D 3 D f 4 E U E s D B B Q A A g A I A H q u U 0 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6 r l N J K I p H u A 4 A A A A R A A A A E w A c A E Z v c m 1 1 b G F z L 1 N l Y 3 R p b 2 4 x L m 0 g o h g A K K A U A A A A A A A A A A A A A A A A A A A A A A A A A A A A K 0 5 N L s n M z 1 M I h t C G 1 g B Q S w E C L Q A U A A I A C A B 6 r l N J A w I C Z q g A A A D 5 A A A A E g A A A A A A A A A A A A A A A A A A A A A A Q 2 9 u Z m l n L 1 B h Y 2 t h Z 2 U u e G 1 s U E s B A i 0 A F A A C A A g A e q 5 T S Q / K 6 a u k A A A A 6 Q A A A B M A A A A A A A A A A A A A A A A A 9 A A A A F t D b 2 5 0 Z W 5 0 X 1 R 5 c G V z X S 5 4 b W x Q S w E C L Q A U A A I A C A B 6 r l N J 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G 6 2 H 6 l n B D R B q X E P v K g 5 j K Y A A A A A A g A A A A A A E G Y A A A A B A A A g A A A A T 4 Y i l 9 0 W T Y X m l Y L 0 V / I K I O Y 8 Z 7 D N i T 6 B 0 4 k v r l O 1 o t 4 A A A A A D o A A A A A C A A A g A A A A + 8 y W K y l O s N a s F 0 O B q y I 6 2 B 6 h M w 9 Z e S L 4 x M w / v J u Q o 3 p Q A A A A g o 9 r j u 9 t W i P 9 K H m c 9 H 9 I G F A T s e u X D 3 I M t p + / b A + R K + c a a Y P P + Q / 2 k z P Q l 7 m 2 6 p P I u O 3 F q w O 1 H U c n 0 1 s o x m A 7 R v V r K + / F E L Z 2 2 e B / J E q F q W V A A A A A x 9 r 6 p 0 o F J S c d 5 9 J h k v g L W S X 7 8 j 1 0 Z P I S H O A + H 7 M a s O g 9 y e A + p O n T L 5 Z H 1 n H j S b 3 E C z k z 8 B L Z 9 L 7 g e p w M 5 N d I V g = = < / D a t a M a s h u p > 
</file>

<file path=customXml/itemProps1.xml><?xml version="1.0" encoding="utf-8"?>
<ds:datastoreItem xmlns:ds="http://schemas.openxmlformats.org/officeDocument/2006/customXml" ds:itemID="{DD47A223-FE89-495E-9284-F2264436509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52</vt:i4>
      </vt:variant>
      <vt:variant>
        <vt:lpstr>Named Ranges</vt:lpstr>
      </vt:variant>
      <vt:variant>
        <vt:i4>27</vt:i4>
      </vt:variant>
    </vt:vector>
  </HeadingPairs>
  <TitlesOfParts>
    <vt:vector size="79" baseType="lpstr">
      <vt:lpstr>Notes</vt:lpstr>
      <vt:lpstr>Ref.</vt:lpstr>
      <vt:lpstr>Fuses and OL</vt:lpstr>
      <vt:lpstr>Max Amps</vt:lpstr>
      <vt:lpstr>VD 2</vt:lpstr>
      <vt:lpstr>HP KVA KW 2</vt:lpstr>
      <vt:lpstr>Quick S.C.</vt:lpstr>
      <vt:lpstr>PD Pumps</vt:lpstr>
      <vt:lpstr>460 Motors</vt:lpstr>
      <vt:lpstr>460 Motors 2X</vt:lpstr>
      <vt:lpstr>Single Phase Motors</vt:lpstr>
      <vt:lpstr>Conduit Fill</vt:lpstr>
      <vt:lpstr>Wire Size</vt:lpstr>
      <vt:lpstr>Feeder</vt:lpstr>
      <vt:lpstr>Motor Data</vt:lpstr>
      <vt:lpstr>VFD Test</vt:lpstr>
      <vt:lpstr>Rod Pump Flow</vt:lpstr>
      <vt:lpstr>Diff 2 Dates</vt:lpstr>
      <vt:lpstr>Resistors</vt:lpstr>
      <vt:lpstr>Quick Load</vt:lpstr>
      <vt:lpstr>Bucket Test</vt:lpstr>
      <vt:lpstr>NEMA SIZE</vt:lpstr>
      <vt:lpstr>Transducers</vt:lpstr>
      <vt:lpstr>GAIN BIAS</vt:lpstr>
      <vt:lpstr>MARKUP</vt:lpstr>
      <vt:lpstr>BHP</vt:lpstr>
      <vt:lpstr>RPM</vt:lpstr>
      <vt:lpstr>Torque</vt:lpstr>
      <vt:lpstr>NEMA Temp</vt:lpstr>
      <vt:lpstr>Field VD 2</vt:lpstr>
      <vt:lpstr>CM to AWG</vt:lpstr>
      <vt:lpstr>AWG to CM</vt:lpstr>
      <vt:lpstr>Field VD</vt:lpstr>
      <vt:lpstr>CMIL</vt:lpstr>
      <vt:lpstr>VD</vt:lpstr>
      <vt:lpstr>Z</vt:lpstr>
      <vt:lpstr>HP KVA KW </vt:lpstr>
      <vt:lpstr>Ohm s Law</vt:lpstr>
      <vt:lpstr>SC Calc.</vt:lpstr>
      <vt:lpstr>MAX CAPS</vt:lpstr>
      <vt:lpstr>Cap. Calc.</vt:lpstr>
      <vt:lpstr>Bends</vt:lpstr>
      <vt:lpstr>777</vt:lpstr>
      <vt:lpstr>PSI SG</vt:lpstr>
      <vt:lpstr>Gas Laws</vt:lpstr>
      <vt:lpstr>Solar</vt:lpstr>
      <vt:lpstr>API</vt:lpstr>
      <vt:lpstr>Basic Motors</vt:lpstr>
      <vt:lpstr>Standard Calc</vt:lpstr>
      <vt:lpstr>Optional Calc</vt:lpstr>
      <vt:lpstr>Winding Temp</vt:lpstr>
      <vt:lpstr>KVA</vt:lpstr>
      <vt:lpstr>'VD 2'!_1.732_or_2</vt:lpstr>
      <vt:lpstr>'Field VD 2'!Cmils</vt:lpstr>
      <vt:lpstr>'HP KVA KW 2'!E</vt:lpstr>
      <vt:lpstr>'HP KVA KW 2'!EFF</vt:lpstr>
      <vt:lpstr>'HP KVA KW 2'!HP</vt:lpstr>
      <vt:lpstr>'HP KVA KW 2'!I</vt:lpstr>
      <vt:lpstr>CMIL!K</vt:lpstr>
      <vt:lpstr>'Field VD 2'!k</vt:lpstr>
      <vt:lpstr>'VD 2'!k</vt:lpstr>
      <vt:lpstr>'HP KVA KW 2'!KVA</vt:lpstr>
      <vt:lpstr>'HP KVA KW 2'!KVAHP</vt:lpstr>
      <vt:lpstr>'HP KVA KW 2'!KW</vt:lpstr>
      <vt:lpstr>'HP KVA KW 2'!PF</vt:lpstr>
      <vt:lpstr>CMIL!Phase</vt:lpstr>
      <vt:lpstr>'Max Amps'!Phase</vt:lpstr>
      <vt:lpstr>'AWG to CM'!Print_Area</vt:lpstr>
      <vt:lpstr>'Bucket Test'!Print_Area</vt:lpstr>
      <vt:lpstr>Feeder!Print_Area</vt:lpstr>
      <vt:lpstr>'Field VD 2'!Print_Area</vt:lpstr>
      <vt:lpstr>'Motor Data'!Print_Area</vt:lpstr>
      <vt:lpstr>RPM!Print_Area</vt:lpstr>
      <vt:lpstr>'Standard Calc'!Print_Area</vt:lpstr>
      <vt:lpstr>Torque!Print_Area</vt:lpstr>
      <vt:lpstr>'VD 2'!Print_Area</vt:lpstr>
      <vt:lpstr>'Field VD 2'!Wire_Size</vt:lpstr>
      <vt:lpstr>'Field VD 2'!wiresize</vt:lpstr>
      <vt:lpstr>'VD 2'!wiresize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Lorn Macilravie</dc:creator>
  <cp:lastModifiedBy>Lorn MacIlravie</cp:lastModifiedBy>
  <cp:lastPrinted>2017-12-03T02:18:58Z</cp:lastPrinted>
  <dcterms:created xsi:type="dcterms:W3CDTF">2015-07-15T17:22:28Z</dcterms:created>
  <dcterms:modified xsi:type="dcterms:W3CDTF">2018-02-18T01:48:55Z</dcterms:modified>
</cp:coreProperties>
</file>