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21" firstSheet="1" activeTab="8"/>
  </bookViews>
  <sheets>
    <sheet name="Note by Author" sheetId="1" r:id="rId1"/>
    <sheet name="Flow" sheetId="2" r:id="rId2"/>
    <sheet name="Sheaves" sheetId="3" r:id="rId3"/>
    <sheet name="Belts" sheetId="4" r:id="rId4"/>
    <sheet name="SPM" sheetId="5" r:id="rId5"/>
    <sheet name="SPM Table" sheetId="6" r:id="rId6"/>
    <sheet name="Motors" sheetId="7" r:id="rId7"/>
    <sheet name="Motor Table" sheetId="8" r:id="rId8"/>
    <sheet name="Motor Amps" sheetId="9" r:id="rId9"/>
    <sheet name="Flow Table" sheetId="10" r:id="rId10"/>
    <sheet name="Steel Rods" sheetId="11" r:id="rId11"/>
  </sheets>
  <definedNames>
    <definedName name="_xlnm.Print_Area" localSheetId="10">'Steel Rods'!$A$1:$G$43</definedName>
  </definedNames>
  <calcPr fullCalcOnLoad="1"/>
</workbook>
</file>

<file path=xl/sharedStrings.xml><?xml version="1.0" encoding="utf-8"?>
<sst xmlns="http://schemas.openxmlformats.org/spreadsheetml/2006/main" count="252" uniqueCount="174">
  <si>
    <t>Note:</t>
  </si>
  <si>
    <t>These spreadsheets were built from widely available information. Most of the calculations can be found by looking through Lufkin and Weatherford sales brochures. Other calculations came from my former co-workers at Weatherford International. I use these calculations as a way of communicating with my customers when there are problems in the field. I'm an electrician, not engineer. Please use these calculations carefully and check with the manufacturer of you equipment, or your engineer, before using them. Making design mistakes can be costly. Wells are often unique and need special considerations that are not included in basic calculations.</t>
  </si>
  <si>
    <t>Lorn MacIlravie, Master Electrician</t>
  </si>
  <si>
    <t>risingedgeservices@gmail.com</t>
  </si>
  <si>
    <t>Mobile 307-696-7926</t>
  </si>
  <si>
    <t>API Rod Pump Flow Calculation</t>
  </si>
  <si>
    <t>Standard Calculation</t>
  </si>
  <si>
    <t xml:space="preserve"> </t>
  </si>
  <si>
    <t>Stroke Length</t>
  </si>
  <si>
    <t>Bore Diameter</t>
  </si>
  <si>
    <t>SPM</t>
  </si>
  <si>
    <t>BPD = (Bore Dia. X Bore Dia.) X 0.1166 X Stroke Length X SPM</t>
  </si>
  <si>
    <t>Efficiency</t>
  </si>
  <si>
    <t>BPD x Eff.</t>
  </si>
  <si>
    <t>Spreadsheet by Lorn MacIlravie, Master Electrician</t>
  </si>
  <si>
    <t>Please send comments or suggestions to risingedgeservices@gmail.com</t>
  </si>
  <si>
    <t>Recommended Prime Mover Sheave = (SPM x R x D)/RPM</t>
  </si>
  <si>
    <t>R = Pumping Unit Gear Ratio</t>
  </si>
  <si>
    <t>D = Pumping Unit Sheave (Large Sheave)</t>
  </si>
  <si>
    <t>RPM = Revolutions per Minute</t>
  </si>
  <si>
    <t>d = Motor Sheave (Small Sheave)</t>
  </si>
  <si>
    <t>Sheave Ratio</t>
  </si>
  <si>
    <t>Recommended Unit Sheave = (RPM x d) / (SPM x R)</t>
  </si>
  <si>
    <t>Belt Length = (2 x CD) + (1.57 x (D+d))</t>
  </si>
  <si>
    <t>Center Distance, "CD"</t>
  </si>
  <si>
    <t>Unit Sheave Size, "D"</t>
  </si>
  <si>
    <t>Motor Sheave Size, "d"</t>
  </si>
  <si>
    <t>Belt Length</t>
  </si>
  <si>
    <t>FPM = (Pi x 14.5 x 1170) / 12</t>
  </si>
  <si>
    <t>Motor RPM</t>
  </si>
  <si>
    <t>FPM (Feet per Minute)</t>
  </si>
  <si>
    <t>SPM for a Standard Pumping Unit</t>
  </si>
  <si>
    <t>SPM = (RPM/R)*(d/D)</t>
  </si>
  <si>
    <t>SPM for a Rotoflex Pumping Unit</t>
  </si>
  <si>
    <t>SPM = RPM / ((D/d) x R x CR)</t>
  </si>
  <si>
    <t>RPM at the gear box input shaft</t>
  </si>
  <si>
    <t>RPM at the gear box output shaft</t>
  </si>
  <si>
    <t>CR = Chain Ratio</t>
  </si>
  <si>
    <t>Time Your Pumping Unit</t>
  </si>
  <si>
    <t>Number of Strokes</t>
  </si>
  <si>
    <t>Seconds</t>
  </si>
  <si>
    <t>Maximum SPM, Based on free fall speed of the rods</t>
  </si>
  <si>
    <t>Length of Stroke, "L"</t>
  </si>
  <si>
    <t>Conventional Unit</t>
  </si>
  <si>
    <t>Air Balanced Unit</t>
  </si>
  <si>
    <t>Mark II Unit</t>
  </si>
  <si>
    <t>SPM for a Conventional Pumping Unit with Jack Shafts</t>
  </si>
  <si>
    <t>RPM = Prime Mover RPM</t>
  </si>
  <si>
    <t>d = Motor Sheave</t>
  </si>
  <si>
    <t>J1 = Driven Jack Shaft Sheave</t>
  </si>
  <si>
    <t>1st Sheave Ratio</t>
  </si>
  <si>
    <t>RPM on Jack Shaft Sheaves</t>
  </si>
  <si>
    <t>J2 = Drive Jack Shaft Sheave</t>
  </si>
  <si>
    <t>D = Gear Box Sheave</t>
  </si>
  <si>
    <t>2nd Sheave Ratio</t>
  </si>
  <si>
    <t>RPM on Gear Box Input Shaft</t>
  </si>
  <si>
    <t>R = Unit Gear Ratio</t>
  </si>
  <si>
    <t>MOTOR RPM</t>
  </si>
  <si>
    <t>R = GEAR RATIO</t>
  </si>
  <si>
    <t>MOTOR SHEAVE, INCHES</t>
  </si>
  <si>
    <t>PUMP SHEAVE, INCHES</t>
  </si>
  <si>
    <t>Motor Size Calculators for Conventional Pumping Units</t>
  </si>
  <si>
    <t>Load Torque Based Motor Calculation, Option #1</t>
  </si>
  <si>
    <t>Motor RPM at 60Hz</t>
  </si>
  <si>
    <t>Required Gear Box Output Torque, Inch/Lbs</t>
  </si>
  <si>
    <t>Unit Gear Ratio, "R"</t>
  </si>
  <si>
    <t>Required Motor FL Torque, Ft/Lbs</t>
  </si>
  <si>
    <t>Required Motor FL Torque, Inch/Lbs</t>
  </si>
  <si>
    <t>Gear Box Input Torque, Foot/Lbs</t>
  </si>
  <si>
    <t>Gear Box Input Torque, Inch/Lbs</t>
  </si>
  <si>
    <t>Unit Sheave RPM</t>
  </si>
  <si>
    <t>Combined Sheave Ratio and Unit Gear Ratio</t>
  </si>
  <si>
    <t>SPM at 60 Hz</t>
  </si>
  <si>
    <t>FPM (Belt Velocity Feet per Minute)</t>
  </si>
  <si>
    <t>Calculated Motor HP</t>
  </si>
  <si>
    <t>Service Factor marked on your motor</t>
  </si>
  <si>
    <t>Recommended NEMA B Motor for a VSD</t>
  </si>
  <si>
    <t>Polish Rod Horse Power (PRHP) Motor Calculation, Option #2</t>
  </si>
  <si>
    <t>NP HP = (PRHP)(CLF) / (Motor Eff.)(Pumping Unit Eff.)</t>
  </si>
  <si>
    <t>PRHP (Polish Rod HP)</t>
  </si>
  <si>
    <t>CLF (Cyclic Load Factor) for NEMA D Motor</t>
  </si>
  <si>
    <t>CLF (Cyclic Load Factor) for NEMA B Motor</t>
  </si>
  <si>
    <t>Pumping Unit Mechanical Eff.</t>
  </si>
  <si>
    <t>Motor Efficiency</t>
  </si>
  <si>
    <t>PRHP X 2 (Rule of Thumb for NEMA D Motor)</t>
  </si>
  <si>
    <t>PRHP X 3 (Rule of Thumb for NEMA B Motor)</t>
  </si>
  <si>
    <t>Calculated NEMA D Motor</t>
  </si>
  <si>
    <t>Calculated NEMA B Motor</t>
  </si>
  <si>
    <t>Very Old School Motor Calculation, Option #3</t>
  </si>
  <si>
    <t>NEMA D</t>
  </si>
  <si>
    <t>HP = BPD X Depth / 56,000</t>
  </si>
  <si>
    <t>NEMA B</t>
  </si>
  <si>
    <t>HP = BPD X Depth / 45,000</t>
  </si>
  <si>
    <t>BPD</t>
  </si>
  <si>
    <t>Depth</t>
  </si>
  <si>
    <t>Calculated NEMA D HP</t>
  </si>
  <si>
    <t>Calculated NEMA B HP</t>
  </si>
  <si>
    <t>Safety Factor</t>
  </si>
  <si>
    <t>Recommended NEMA D Motor HP</t>
  </si>
  <si>
    <t>Recommended NEMA B Motor HP</t>
  </si>
  <si>
    <t>Load Torque Based Motor Calculation, Table</t>
  </si>
  <si>
    <t>Conventional Units</t>
  </si>
  <si>
    <t>Lorn's Calculations</t>
  </si>
  <si>
    <t>Unit Size</t>
  </si>
  <si>
    <t>NEMA B (SF 1.15)</t>
  </si>
  <si>
    <t>NEMA D (SF 1.25)</t>
  </si>
  <si>
    <t>Lufkin Table</t>
  </si>
  <si>
    <t>Lorn's NEMA B</t>
  </si>
  <si>
    <t>100, or 125</t>
  </si>
  <si>
    <t>Rotoflex Units</t>
  </si>
  <si>
    <t>Information from Rotoflex Book</t>
  </si>
  <si>
    <t>NEMA D Motor</t>
  </si>
  <si>
    <t>Motor Sheave</t>
  </si>
  <si>
    <t>Unit Sheave</t>
  </si>
  <si>
    <t>Unit Ratio</t>
  </si>
  <si>
    <t>Chain Ratio</t>
  </si>
  <si>
    <t>Total Unit Ratio</t>
  </si>
  <si>
    <t>Max SPM</t>
  </si>
  <si>
    <t>Stoke</t>
  </si>
  <si>
    <t>Change the values in the highlighted cells.</t>
  </si>
  <si>
    <t>Rod</t>
  </si>
  <si>
    <t>Rod Size</t>
  </si>
  <si>
    <t>Est. Rod</t>
  </si>
  <si>
    <t>Total</t>
  </si>
  <si>
    <t>Count</t>
  </si>
  <si>
    <t>Inch</t>
  </si>
  <si>
    <t>Lbs./Ft.</t>
  </si>
  <si>
    <t>Ft.</t>
  </si>
  <si>
    <t>Lbs</t>
  </si>
  <si>
    <t>Length</t>
  </si>
  <si>
    <t>Sucker Rods</t>
  </si>
  <si>
    <r>
      <t xml:space="preserve"> </t>
    </r>
    <r>
      <rPr>
        <sz val="10"/>
        <color indexed="63"/>
        <rFont val="Times New Roman"/>
        <family val="1"/>
      </rPr>
      <t>5/8"</t>
    </r>
  </si>
  <si>
    <r>
      <t xml:space="preserve"> </t>
    </r>
    <r>
      <rPr>
        <sz val="10"/>
        <color indexed="63"/>
        <rFont val="Times New Roman"/>
        <family val="1"/>
      </rPr>
      <t>3/4"</t>
    </r>
  </si>
  <si>
    <r>
      <t xml:space="preserve"> </t>
    </r>
    <r>
      <rPr>
        <sz val="10"/>
        <color indexed="63"/>
        <rFont val="Times New Roman"/>
        <family val="1"/>
      </rPr>
      <t>7/8"</t>
    </r>
  </si>
  <si>
    <r>
      <t xml:space="preserve"> </t>
    </r>
    <r>
      <rPr>
        <sz val="10"/>
        <color indexed="63"/>
        <rFont val="Times New Roman"/>
        <family val="1"/>
      </rPr>
      <t>1"</t>
    </r>
  </si>
  <si>
    <t>1-1/8"</t>
  </si>
  <si>
    <t>Sinker Rods</t>
  </si>
  <si>
    <t>1-1/4"</t>
  </si>
  <si>
    <t>1-3/8"</t>
  </si>
  <si>
    <t>1-1/2"</t>
  </si>
  <si>
    <t>1-5/8"</t>
  </si>
  <si>
    <t>1-3/4"</t>
  </si>
  <si>
    <t>2"</t>
  </si>
  <si>
    <t>Pony Rods</t>
  </si>
  <si>
    <t>5/8 x 2</t>
  </si>
  <si>
    <t>5/8 x 4</t>
  </si>
  <si>
    <t>5/8 x 6</t>
  </si>
  <si>
    <t>5/8 x 8</t>
  </si>
  <si>
    <t>3/4 x 2</t>
  </si>
  <si>
    <t>3/4 x 4</t>
  </si>
  <si>
    <t>3/4 x 6</t>
  </si>
  <si>
    <t>3/4 x 8</t>
  </si>
  <si>
    <t>7/8 x 2</t>
  </si>
  <si>
    <t>7/8 x 4</t>
  </si>
  <si>
    <t>7/8 x 6</t>
  </si>
  <si>
    <t>7/8 x 8</t>
  </si>
  <si>
    <t>1 x 2</t>
  </si>
  <si>
    <t>1 x 4</t>
  </si>
  <si>
    <t>1 x 6</t>
  </si>
  <si>
    <t>1 x 8</t>
  </si>
  <si>
    <t>Other</t>
  </si>
  <si>
    <t>Grand Totals</t>
  </si>
  <si>
    <t>Est. Lbs.</t>
  </si>
  <si>
    <t>Est. Feet</t>
  </si>
  <si>
    <t>RPM = Mark on Motor</t>
  </si>
  <si>
    <t>Base Motor Frequency = Usually 60 Hz</t>
  </si>
  <si>
    <t>Actual Motor RPM</t>
  </si>
  <si>
    <t>VFD Output Hz</t>
  </si>
  <si>
    <t>SPM for a Standard Pumping Unit, VFD Version</t>
  </si>
  <si>
    <t>Rods</t>
  </si>
  <si>
    <t>Weights</t>
  </si>
  <si>
    <t>Low</t>
  </si>
  <si>
    <t>Calculated Amps</t>
  </si>
  <si>
    <t>Rod Pump Motor Average Amps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</si>
</sst>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s>
  <fonts count="52">
    <font>
      <sz val="12"/>
      <color indexed="8"/>
      <name val="Verdana"/>
      <family val="2"/>
    </font>
    <font>
      <sz val="10"/>
      <name val="Arial"/>
      <family val="0"/>
    </font>
    <font>
      <u val="single"/>
      <sz val="12"/>
      <color indexed="12"/>
      <name val="Verdana"/>
      <family val="2"/>
    </font>
    <font>
      <sz val="12"/>
      <name val="Times New Roman"/>
      <family val="1"/>
    </font>
    <font>
      <b/>
      <sz val="12"/>
      <name val="Times New Roman"/>
      <family val="1"/>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b/>
      <sz val="12"/>
      <color indexed="8"/>
      <name val="Verdana"/>
      <family val="2"/>
    </font>
    <font>
      <sz val="10"/>
      <color indexed="8"/>
      <name val="Times New Roman"/>
      <family val="1"/>
    </font>
    <font>
      <b/>
      <sz val="10"/>
      <color indexed="8"/>
      <name val="Times New Roman"/>
      <family val="1"/>
    </font>
    <font>
      <i/>
      <sz val="10"/>
      <color indexed="8"/>
      <name val="Times New Roman"/>
      <family val="1"/>
    </font>
    <font>
      <b/>
      <i/>
      <sz val="12"/>
      <name val="Times New Roman"/>
      <family val="1"/>
    </font>
    <font>
      <sz val="10"/>
      <color indexed="8"/>
      <name val="Verdana"/>
      <family val="2"/>
    </font>
    <font>
      <b/>
      <sz val="10"/>
      <color indexed="8"/>
      <name val="Verdana"/>
      <family val="2"/>
    </font>
    <font>
      <sz val="10"/>
      <name val="Times New Roman"/>
      <family val="1"/>
    </font>
    <font>
      <sz val="10"/>
      <color indexed="6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4"/>
        <bgColor indexed="64"/>
      </patternFill>
    </fill>
    <fill>
      <patternFill patternType="solid">
        <fgColor indexed="22"/>
        <bgColor indexed="64"/>
      </patternFill>
    </fill>
    <fill>
      <patternFill patternType="solid">
        <fgColor rgb="FFFFFF00"/>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Protection="0">
      <alignment vertical="top"/>
    </xf>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Protection="0">
      <alignment vertical="top"/>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3">
    <xf numFmtId="0" fontId="0" fillId="0" borderId="0" xfId="0" applyAlignment="1">
      <alignment vertical="top"/>
    </xf>
    <xf numFmtId="0" fontId="2" fillId="0" borderId="0" xfId="52" applyNumberFormat="1" applyFont="1" applyFill="1" applyBorder="1" applyAlignment="1" applyProtection="1">
      <alignment vertical="top"/>
      <protection/>
    </xf>
    <xf numFmtId="0" fontId="3" fillId="0" borderId="0" xfId="0" applyFont="1"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protection/>
    </xf>
    <xf numFmtId="0" fontId="5" fillId="0" borderId="0" xfId="0" applyFont="1" applyAlignment="1" applyProtection="1">
      <alignment/>
      <protection/>
    </xf>
    <xf numFmtId="49" fontId="3" fillId="0" borderId="0" xfId="0" applyNumberFormat="1" applyFont="1" applyBorder="1" applyAlignment="1" applyProtection="1">
      <alignment horizontal="left" vertical="center"/>
      <protection/>
    </xf>
    <xf numFmtId="49" fontId="3" fillId="0" borderId="0" xfId="0" applyNumberFormat="1" applyFont="1" applyAlignment="1" applyProtection="1">
      <alignment/>
      <protection/>
    </xf>
    <xf numFmtId="49" fontId="3" fillId="0" borderId="0" xfId="0" applyNumberFormat="1" applyFont="1" applyAlignment="1" applyProtection="1">
      <alignment horizontal="left"/>
      <protection/>
    </xf>
    <xf numFmtId="49" fontId="3" fillId="0" borderId="0" xfId="0" applyNumberFormat="1" applyFont="1" applyAlignment="1" applyProtection="1">
      <alignment horizontal="center"/>
      <protection/>
    </xf>
    <xf numFmtId="0" fontId="3" fillId="33" borderId="10" xfId="0" applyNumberFormat="1" applyFont="1" applyFill="1" applyBorder="1" applyAlignment="1" applyProtection="1">
      <alignment horizontal="right"/>
      <protection locked="0"/>
    </xf>
    <xf numFmtId="0" fontId="3" fillId="0" borderId="10" xfId="0" applyNumberFormat="1" applyFont="1" applyFill="1" applyBorder="1" applyAlignment="1" applyProtection="1">
      <alignment horizontal="left"/>
      <protection/>
    </xf>
    <xf numFmtId="164" fontId="4" fillId="0" borderId="10" xfId="0" applyNumberFormat="1" applyFont="1" applyBorder="1" applyAlignment="1" applyProtection="1">
      <alignment/>
      <protection/>
    </xf>
    <xf numFmtId="0" fontId="4" fillId="0" borderId="10" xfId="0" applyFont="1" applyBorder="1" applyAlignment="1" applyProtection="1">
      <alignment/>
      <protection/>
    </xf>
    <xf numFmtId="9" fontId="3" fillId="33" borderId="10" xfId="58" applyFont="1" applyFill="1" applyBorder="1" applyAlignment="1" applyProtection="1">
      <alignment horizontal="right"/>
      <protection locked="0"/>
    </xf>
    <xf numFmtId="1" fontId="4" fillId="0" borderId="10" xfId="0" applyNumberFormat="1" applyFont="1" applyBorder="1" applyAlignment="1" applyProtection="1">
      <alignment/>
      <protection/>
    </xf>
    <xf numFmtId="0" fontId="5" fillId="0" borderId="0" xfId="0" applyFont="1" applyAlignment="1">
      <alignment/>
    </xf>
    <xf numFmtId="0" fontId="0" fillId="0" borderId="0" xfId="0" applyFont="1" applyAlignment="1">
      <alignment/>
    </xf>
    <xf numFmtId="9" fontId="3" fillId="0" borderId="0" xfId="58" applyFont="1" applyFill="1" applyBorder="1" applyAlignment="1" applyProtection="1">
      <alignment/>
      <protection/>
    </xf>
    <xf numFmtId="164" fontId="6" fillId="0" borderId="11" xfId="0" applyNumberFormat="1" applyFont="1" applyBorder="1" applyAlignment="1">
      <alignment vertical="center"/>
    </xf>
    <xf numFmtId="0" fontId="6" fillId="0" borderId="11" xfId="0" applyFont="1" applyBorder="1" applyAlignment="1">
      <alignment vertical="center"/>
    </xf>
    <xf numFmtId="164" fontId="5" fillId="33" borderId="10" xfId="0" applyNumberFormat="1" applyFont="1" applyFill="1" applyBorder="1" applyAlignment="1" applyProtection="1">
      <alignment vertical="center"/>
      <protection locked="0"/>
    </xf>
    <xf numFmtId="0" fontId="5" fillId="0" borderId="10" xfId="0" applyFont="1" applyBorder="1" applyAlignment="1">
      <alignment vertical="center"/>
    </xf>
    <xf numFmtId="1" fontId="5" fillId="33" borderId="10" xfId="0" applyNumberFormat="1" applyFont="1" applyFill="1" applyBorder="1" applyAlignment="1" applyProtection="1">
      <alignment vertical="center"/>
      <protection locked="0"/>
    </xf>
    <xf numFmtId="1"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xf>
    <xf numFmtId="164" fontId="5" fillId="0" borderId="10" xfId="0" applyNumberFormat="1" applyFont="1" applyBorder="1" applyAlignment="1">
      <alignment/>
    </xf>
    <xf numFmtId="0" fontId="5" fillId="0" borderId="10" xfId="0" applyFont="1" applyFill="1" applyBorder="1" applyAlignment="1">
      <alignment vertical="center"/>
    </xf>
    <xf numFmtId="164" fontId="5" fillId="0" borderId="0" xfId="0" applyNumberFormat="1" applyFont="1" applyAlignment="1">
      <alignment/>
    </xf>
    <xf numFmtId="0" fontId="6" fillId="0" borderId="12" xfId="0" applyFont="1" applyBorder="1" applyAlignment="1">
      <alignment vertical="center"/>
    </xf>
    <xf numFmtId="0" fontId="5" fillId="0" borderId="0" xfId="0" applyFont="1" applyBorder="1" applyAlignment="1" applyProtection="1">
      <alignment/>
      <protection/>
    </xf>
    <xf numFmtId="16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1" fontId="6" fillId="0" borderId="0" xfId="0" applyNumberFormat="1" applyFont="1" applyBorder="1" applyAlignment="1" applyProtection="1">
      <alignment/>
      <protection/>
    </xf>
    <xf numFmtId="0" fontId="6" fillId="0" borderId="0" xfId="0" applyNumberFormat="1" applyFont="1" applyBorder="1" applyAlignment="1" applyProtection="1">
      <alignment/>
      <protection/>
    </xf>
    <xf numFmtId="0" fontId="5" fillId="0" borderId="10" xfId="0" applyFont="1" applyBorder="1" applyAlignment="1" applyProtection="1">
      <alignment vertical="center"/>
      <protection/>
    </xf>
    <xf numFmtId="0" fontId="5" fillId="0" borderId="0" xfId="0" applyFont="1" applyBorder="1" applyAlignment="1" applyProtection="1">
      <alignment vertical="center"/>
      <protection/>
    </xf>
    <xf numFmtId="1" fontId="5" fillId="0" borderId="0" xfId="0" applyNumberFormat="1" applyFont="1" applyBorder="1" applyAlignment="1" applyProtection="1">
      <alignment/>
      <protection/>
    </xf>
    <xf numFmtId="0" fontId="5" fillId="0" borderId="0" xfId="0" applyNumberFormat="1" applyFont="1" applyBorder="1" applyAlignment="1" applyProtection="1">
      <alignment/>
      <protection/>
    </xf>
    <xf numFmtId="164" fontId="5" fillId="33" borderId="10" xfId="0" applyNumberFormat="1" applyFont="1" applyFill="1" applyBorder="1" applyAlignment="1" applyProtection="1">
      <alignment horizontal="right"/>
      <protection locked="0"/>
    </xf>
    <xf numFmtId="0" fontId="5" fillId="0" borderId="10" xfId="0" applyNumberFormat="1" applyFont="1" applyBorder="1" applyAlignment="1" applyProtection="1">
      <alignment horizontal="left"/>
      <protection/>
    </xf>
    <xf numFmtId="164" fontId="6" fillId="0" borderId="10" xfId="0" applyNumberFormat="1" applyFont="1" applyFill="1" applyBorder="1" applyAlignment="1" applyProtection="1">
      <alignment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protection/>
    </xf>
    <xf numFmtId="164" fontId="5" fillId="33" borderId="10" xfId="0" applyNumberFormat="1" applyFont="1" applyFill="1" applyBorder="1" applyAlignment="1" applyProtection="1">
      <alignment horizontal="right" vertical="center"/>
      <protection locked="0"/>
    </xf>
    <xf numFmtId="0" fontId="5" fillId="0" borderId="10" xfId="0" applyNumberFormat="1" applyFont="1" applyBorder="1" applyAlignment="1" applyProtection="1">
      <alignment horizontal="left" vertical="center"/>
      <protection/>
    </xf>
    <xf numFmtId="1" fontId="6" fillId="0" borderId="10" xfId="0" applyNumberFormat="1" applyFont="1" applyBorder="1" applyAlignment="1" applyProtection="1">
      <alignment/>
      <protection/>
    </xf>
    <xf numFmtId="0" fontId="6" fillId="0" borderId="10" xfId="0" applyFont="1" applyBorder="1" applyAlignment="1" applyProtection="1">
      <alignment/>
      <protection/>
    </xf>
    <xf numFmtId="0" fontId="7" fillId="0" borderId="0" xfId="0" applyFont="1" applyBorder="1" applyAlignment="1" applyProtection="1">
      <alignment/>
      <protection/>
    </xf>
    <xf numFmtId="2" fontId="7" fillId="0" borderId="0" xfId="0" applyNumberFormat="1" applyFont="1" applyBorder="1" applyAlignment="1" applyProtection="1">
      <alignment/>
      <protection/>
    </xf>
    <xf numFmtId="0" fontId="8" fillId="0" borderId="0" xfId="0" applyFont="1" applyBorder="1" applyAlignment="1" applyProtection="1">
      <alignment/>
      <protection/>
    </xf>
    <xf numFmtId="2" fontId="8" fillId="0" borderId="0" xfId="0" applyNumberFormat="1" applyFont="1" applyBorder="1" applyAlignment="1" applyProtection="1">
      <alignment/>
      <protection/>
    </xf>
    <xf numFmtId="1" fontId="8" fillId="0" borderId="0" xfId="0" applyNumberFormat="1" applyFont="1" applyBorder="1" applyAlignment="1" applyProtection="1">
      <alignment vertical="center"/>
      <protection/>
    </xf>
    <xf numFmtId="0" fontId="8" fillId="0" borderId="0" xfId="0" applyFont="1" applyBorder="1" applyAlignment="1" applyProtection="1">
      <alignment vertical="center"/>
      <protection/>
    </xf>
    <xf numFmtId="1" fontId="7" fillId="33" borderId="10" xfId="0" applyNumberFormat="1" applyFont="1" applyFill="1" applyBorder="1" applyAlignment="1" applyProtection="1">
      <alignment vertical="center"/>
      <protection locked="0"/>
    </xf>
    <xf numFmtId="0" fontId="7" fillId="0" borderId="10" xfId="0" applyFont="1" applyBorder="1" applyAlignment="1" applyProtection="1">
      <alignment vertical="center"/>
      <protection/>
    </xf>
    <xf numFmtId="164" fontId="8" fillId="0" borderId="10" xfId="0" applyNumberFormat="1" applyFont="1" applyBorder="1" applyAlignment="1" applyProtection="1">
      <alignment vertical="center"/>
      <protection/>
    </xf>
    <xf numFmtId="0" fontId="8" fillId="0" borderId="10" xfId="0" applyFont="1" applyBorder="1" applyAlignment="1" applyProtection="1">
      <alignment vertical="center"/>
      <protection/>
    </xf>
    <xf numFmtId="164" fontId="8" fillId="0" borderId="0" xfId="0" applyNumberFormat="1" applyFont="1" applyBorder="1" applyAlignment="1" applyProtection="1">
      <alignment vertical="center"/>
      <protection/>
    </xf>
    <xf numFmtId="1" fontId="7" fillId="0" borderId="10" xfId="0" applyNumberFormat="1" applyFont="1" applyFill="1" applyBorder="1" applyAlignment="1" applyProtection="1">
      <alignment vertical="center"/>
      <protection/>
    </xf>
    <xf numFmtId="164" fontId="7" fillId="33" borderId="10" xfId="0" applyNumberFormat="1" applyFont="1" applyFill="1" applyBorder="1" applyAlignment="1" applyProtection="1">
      <alignment vertical="center"/>
      <protection locked="0"/>
    </xf>
    <xf numFmtId="2" fontId="8" fillId="0" borderId="10" xfId="0" applyNumberFormat="1" applyFont="1" applyBorder="1" applyAlignment="1" applyProtection="1">
      <alignment/>
      <protection/>
    </xf>
    <xf numFmtId="0" fontId="8" fillId="0" borderId="10" xfId="0" applyFont="1" applyBorder="1" applyAlignment="1" applyProtection="1">
      <alignment/>
      <protection/>
    </xf>
    <xf numFmtId="2" fontId="8" fillId="33" borderId="10" xfId="0" applyNumberFormat="1" applyFont="1" applyFill="1" applyBorder="1" applyAlignment="1" applyProtection="1">
      <alignment/>
      <protection locked="0"/>
    </xf>
    <xf numFmtId="1" fontId="8" fillId="0" borderId="0" xfId="0" applyNumberFormat="1" applyFont="1" applyBorder="1" applyAlignment="1" applyProtection="1">
      <alignment/>
      <protection/>
    </xf>
    <xf numFmtId="0" fontId="8" fillId="0" borderId="0" xfId="0" applyNumberFormat="1" applyFont="1" applyBorder="1" applyAlignment="1" applyProtection="1">
      <alignment/>
      <protection/>
    </xf>
    <xf numFmtId="0" fontId="7" fillId="0" borderId="0" xfId="0" applyFont="1" applyBorder="1" applyAlignment="1" applyProtection="1">
      <alignment vertical="center"/>
      <protection/>
    </xf>
    <xf numFmtId="1" fontId="7" fillId="0" borderId="0" xfId="0" applyNumberFormat="1" applyFont="1" applyBorder="1" applyAlignment="1" applyProtection="1">
      <alignment/>
      <protection/>
    </xf>
    <xf numFmtId="0" fontId="7" fillId="0" borderId="0" xfId="0" applyNumberFormat="1" applyFont="1" applyBorder="1" applyAlignment="1" applyProtection="1">
      <alignment/>
      <protection/>
    </xf>
    <xf numFmtId="0" fontId="7" fillId="33" borderId="10" xfId="0" applyFont="1" applyFill="1" applyBorder="1" applyAlignment="1" applyProtection="1">
      <alignment/>
      <protection locked="0"/>
    </xf>
    <xf numFmtId="0" fontId="7" fillId="0" borderId="10" xfId="0" applyFont="1" applyBorder="1" applyAlignment="1" applyProtection="1">
      <alignment/>
      <protection/>
    </xf>
    <xf numFmtId="0" fontId="7" fillId="0" borderId="10" xfId="0" applyFont="1" applyFill="1" applyBorder="1" applyAlignment="1" applyProtection="1">
      <alignment/>
      <protection/>
    </xf>
    <xf numFmtId="0" fontId="7" fillId="0" borderId="0" xfId="0" applyFont="1" applyFill="1" applyBorder="1" applyAlignment="1" applyProtection="1">
      <alignment/>
      <protection/>
    </xf>
    <xf numFmtId="2" fontId="7" fillId="0" borderId="0" xfId="0" applyNumberFormat="1" applyFont="1" applyFill="1" applyBorder="1" applyAlignment="1" applyProtection="1">
      <alignment/>
      <protection/>
    </xf>
    <xf numFmtId="0" fontId="7" fillId="0" borderId="0" xfId="0" applyFont="1" applyAlignment="1">
      <alignment/>
    </xf>
    <xf numFmtId="0" fontId="0" fillId="0" borderId="0" xfId="0" applyAlignment="1" applyProtection="1">
      <alignment/>
      <protection/>
    </xf>
    <xf numFmtId="2" fontId="6" fillId="0" borderId="0" xfId="0" applyNumberFormat="1" applyFont="1" applyBorder="1" applyAlignment="1" applyProtection="1">
      <alignment/>
      <protection/>
    </xf>
    <xf numFmtId="1" fontId="6" fillId="0" borderId="0" xfId="0" applyNumberFormat="1" applyFont="1" applyBorder="1" applyAlignment="1" applyProtection="1">
      <alignment vertical="center"/>
      <protection/>
    </xf>
    <xf numFmtId="2" fontId="5" fillId="0" borderId="0" xfId="0" applyNumberFormat="1" applyFont="1" applyBorder="1" applyAlignment="1" applyProtection="1">
      <alignment/>
      <protection/>
    </xf>
    <xf numFmtId="0" fontId="5" fillId="33" borderId="10" xfId="0" applyFont="1" applyFill="1" applyBorder="1" applyAlignment="1" applyProtection="1">
      <alignment horizontal="center"/>
      <protection locked="0"/>
    </xf>
    <xf numFmtId="0" fontId="0" fillId="0" borderId="0" xfId="0"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0" fillId="0" borderId="0" xfId="0" applyFill="1" applyBorder="1" applyAlignment="1" applyProtection="1">
      <alignment/>
      <protection/>
    </xf>
    <xf numFmtId="0" fontId="5" fillId="0" borderId="0" xfId="0" applyFont="1" applyAlignment="1" applyProtection="1">
      <alignment horizontal="center"/>
      <protection/>
    </xf>
    <xf numFmtId="0" fontId="6" fillId="0" borderId="0" xfId="0" applyFont="1" applyAlignment="1" applyProtection="1">
      <alignment horizontal="center"/>
      <protection/>
    </xf>
    <xf numFmtId="0" fontId="6" fillId="33" borderId="10" xfId="0" applyFont="1" applyFill="1" applyBorder="1" applyAlignment="1" applyProtection="1">
      <alignment horizontal="center"/>
      <protection locked="0"/>
    </xf>
    <xf numFmtId="164" fontId="5" fillId="0" borderId="10" xfId="0" applyNumberFormat="1" applyFont="1" applyFill="1" applyBorder="1" applyAlignment="1" applyProtection="1">
      <alignment horizontal="center"/>
      <protection/>
    </xf>
    <xf numFmtId="0" fontId="6" fillId="0" borderId="0" xfId="0" applyFont="1" applyAlignment="1" applyProtection="1">
      <alignment/>
      <protection/>
    </xf>
    <xf numFmtId="0" fontId="8" fillId="0" borderId="0" xfId="0" applyNumberFormat="1" applyFont="1" applyBorder="1" applyAlignment="1" applyProtection="1">
      <alignment vertical="center"/>
      <protection/>
    </xf>
    <xf numFmtId="164" fontId="7" fillId="34" borderId="10" xfId="0" applyNumberFormat="1" applyFont="1" applyFill="1" applyBorder="1" applyAlignment="1" applyProtection="1">
      <alignment horizontal="right"/>
      <protection locked="0"/>
    </xf>
    <xf numFmtId="0" fontId="7" fillId="0" borderId="10" xfId="0" applyNumberFormat="1" applyFont="1" applyBorder="1" applyAlignment="1" applyProtection="1">
      <alignment horizontal="left"/>
      <protection/>
    </xf>
    <xf numFmtId="164" fontId="7" fillId="34" borderId="10" xfId="0" applyNumberFormat="1" applyFont="1" applyFill="1" applyBorder="1" applyAlignment="1" applyProtection="1">
      <alignment horizontal="right" vertical="center"/>
      <protection locked="0"/>
    </xf>
    <xf numFmtId="0" fontId="7" fillId="0" borderId="10" xfId="0" applyNumberFormat="1" applyFont="1" applyBorder="1" applyAlignment="1" applyProtection="1">
      <alignment horizontal="left" vertical="center"/>
      <protection/>
    </xf>
    <xf numFmtId="164" fontId="8" fillId="0" borderId="10" xfId="0" applyNumberFormat="1" applyFont="1" applyBorder="1" applyAlignment="1" applyProtection="1">
      <alignment horizontal="right"/>
      <protection/>
    </xf>
    <xf numFmtId="0" fontId="8" fillId="0" borderId="10" xfId="0" applyNumberFormat="1" applyFont="1" applyBorder="1" applyAlignment="1" applyProtection="1">
      <alignment horizontal="left"/>
      <protection/>
    </xf>
    <xf numFmtId="164" fontId="7" fillId="0" borderId="10" xfId="0" applyNumberFormat="1" applyFont="1" applyBorder="1" applyAlignment="1" applyProtection="1">
      <alignment horizontal="right"/>
      <protection/>
    </xf>
    <xf numFmtId="1" fontId="7" fillId="0" borderId="10" xfId="0" applyNumberFormat="1" applyFont="1" applyBorder="1" applyAlignment="1" applyProtection="1">
      <alignment vertical="center"/>
      <protection/>
    </xf>
    <xf numFmtId="2" fontId="7" fillId="34" borderId="10" xfId="0" applyNumberFormat="1" applyFont="1" applyFill="1" applyBorder="1" applyAlignment="1" applyProtection="1">
      <alignment horizontal="right"/>
      <protection locked="0"/>
    </xf>
    <xf numFmtId="0" fontId="8" fillId="0" borderId="10" xfId="0" applyNumberFormat="1" applyFont="1" applyBorder="1" applyAlignment="1" applyProtection="1">
      <alignment vertical="center"/>
      <protection/>
    </xf>
    <xf numFmtId="164" fontId="7" fillId="0" borderId="0" xfId="0" applyNumberFormat="1" applyFont="1" applyBorder="1" applyAlignment="1" applyProtection="1">
      <alignment vertical="center"/>
      <protection/>
    </xf>
    <xf numFmtId="0" fontId="7" fillId="0" borderId="0" xfId="0" applyNumberFormat="1" applyFont="1" applyBorder="1" applyAlignment="1" applyProtection="1">
      <alignment vertical="center"/>
      <protection/>
    </xf>
    <xf numFmtId="0" fontId="7" fillId="34" borderId="10" xfId="0" applyNumberFormat="1" applyFont="1" applyFill="1" applyBorder="1" applyAlignment="1" applyProtection="1">
      <alignment vertical="center"/>
      <protection locked="0"/>
    </xf>
    <xf numFmtId="0" fontId="7" fillId="0" borderId="10" xfId="0" applyNumberFormat="1" applyFont="1" applyBorder="1" applyAlignment="1" applyProtection="1">
      <alignment vertical="center"/>
      <protection/>
    </xf>
    <xf numFmtId="2" fontId="7" fillId="34" borderId="10" xfId="0" applyNumberFormat="1" applyFont="1" applyFill="1" applyBorder="1" applyAlignment="1" applyProtection="1">
      <alignment vertical="center"/>
      <protection locked="0"/>
    </xf>
    <xf numFmtId="164" fontId="7" fillId="0" borderId="10" xfId="0" applyNumberFormat="1" applyFont="1" applyBorder="1" applyAlignment="1" applyProtection="1">
      <alignment vertical="center"/>
      <protection/>
    </xf>
    <xf numFmtId="2" fontId="7" fillId="0" borderId="10" xfId="0" applyNumberFormat="1" applyFont="1" applyBorder="1" applyAlignment="1" applyProtection="1">
      <alignment vertical="center"/>
      <protection/>
    </xf>
    <xf numFmtId="2" fontId="8" fillId="0" borderId="10" xfId="0" applyNumberFormat="1" applyFont="1" applyBorder="1" applyAlignment="1" applyProtection="1">
      <alignment vertical="center"/>
      <protection/>
    </xf>
    <xf numFmtId="0" fontId="9" fillId="0" borderId="0" xfId="0" applyFont="1" applyBorder="1" applyAlignment="1" applyProtection="1">
      <alignment/>
      <protection/>
    </xf>
    <xf numFmtId="9" fontId="7" fillId="0" borderId="0" xfId="0" applyNumberFormat="1" applyFont="1" applyBorder="1" applyAlignment="1" applyProtection="1">
      <alignment horizontal="right"/>
      <protection/>
    </xf>
    <xf numFmtId="0" fontId="7" fillId="0" borderId="0" xfId="0" applyNumberFormat="1" applyFont="1" applyBorder="1" applyAlignment="1" applyProtection="1">
      <alignment horizontal="left"/>
      <protection/>
    </xf>
    <xf numFmtId="0" fontId="10" fillId="0" borderId="0" xfId="0" applyFont="1" applyAlignment="1" applyProtection="1">
      <alignment/>
      <protection/>
    </xf>
    <xf numFmtId="0" fontId="10" fillId="0" borderId="0" xfId="0" applyFont="1" applyAlignment="1" applyProtection="1">
      <alignment horizontal="center"/>
      <protection/>
    </xf>
    <xf numFmtId="0" fontId="11" fillId="0" borderId="0" xfId="0" applyNumberFormat="1" applyFont="1" applyBorder="1" applyAlignment="1" applyProtection="1">
      <alignment vertical="center"/>
      <protection/>
    </xf>
    <xf numFmtId="0" fontId="10" fillId="0" borderId="0" xfId="0" applyFont="1" applyBorder="1" applyAlignment="1" applyProtection="1">
      <alignment vertical="center"/>
      <protection/>
    </xf>
    <xf numFmtId="164" fontId="10" fillId="33" borderId="10" xfId="0" applyNumberFormat="1" applyFont="1" applyFill="1" applyBorder="1" applyAlignment="1" applyProtection="1">
      <alignment horizontal="right"/>
      <protection locked="0"/>
    </xf>
    <xf numFmtId="0" fontId="10" fillId="0" borderId="10" xfId="0" applyNumberFormat="1" applyFont="1" applyBorder="1" applyAlignment="1" applyProtection="1">
      <alignment horizontal="left"/>
      <protection/>
    </xf>
    <xf numFmtId="164" fontId="10" fillId="33" borderId="10" xfId="0" applyNumberFormat="1" applyFont="1" applyFill="1" applyBorder="1" applyAlignment="1" applyProtection="1">
      <alignment horizontal="right" vertical="center"/>
      <protection locked="0"/>
    </xf>
    <xf numFmtId="0" fontId="10" fillId="0" borderId="10" xfId="0" applyNumberFormat="1" applyFont="1" applyBorder="1" applyAlignment="1" applyProtection="1">
      <alignment horizontal="left" vertical="center"/>
      <protection/>
    </xf>
    <xf numFmtId="0" fontId="11" fillId="0" borderId="0" xfId="0" applyFont="1" applyAlignment="1" applyProtection="1">
      <alignment/>
      <protection/>
    </xf>
    <xf numFmtId="0" fontId="11" fillId="0" borderId="10" xfId="0" applyFont="1" applyBorder="1" applyAlignment="1" applyProtection="1">
      <alignment horizontal="center" wrapText="1"/>
      <protection/>
    </xf>
    <xf numFmtId="0" fontId="11" fillId="35" borderId="10" xfId="0" applyFont="1" applyFill="1" applyBorder="1" applyAlignment="1" applyProtection="1">
      <alignment horizontal="center" wrapText="1"/>
      <protection/>
    </xf>
    <xf numFmtId="0" fontId="11" fillId="0" borderId="10" xfId="0" applyFont="1" applyFill="1" applyBorder="1" applyAlignment="1" applyProtection="1">
      <alignment horizontal="center" wrapText="1"/>
      <protection/>
    </xf>
    <xf numFmtId="0" fontId="11" fillId="0" borderId="0" xfId="0" applyFont="1" applyAlignment="1" applyProtection="1">
      <alignment wrapText="1"/>
      <protection/>
    </xf>
    <xf numFmtId="0" fontId="10" fillId="0" borderId="10" xfId="0" applyFont="1" applyBorder="1" applyAlignment="1" applyProtection="1">
      <alignment horizontal="center"/>
      <protection/>
    </xf>
    <xf numFmtId="164" fontId="10" fillId="35" borderId="10" xfId="0" applyNumberFormat="1" applyFont="1" applyFill="1" applyBorder="1" applyAlignment="1" applyProtection="1">
      <alignment horizontal="center"/>
      <protection/>
    </xf>
    <xf numFmtId="0" fontId="12" fillId="0" borderId="10" xfId="0" applyFont="1" applyBorder="1" applyAlignment="1" applyProtection="1">
      <alignment horizontal="center"/>
      <protection/>
    </xf>
    <xf numFmtId="0" fontId="10" fillId="0" borderId="10" xfId="0" applyFont="1" applyFill="1" applyBorder="1" applyAlignment="1" applyProtection="1">
      <alignment horizontal="center"/>
      <protection/>
    </xf>
    <xf numFmtId="0" fontId="10" fillId="33" borderId="10" xfId="0" applyFont="1" applyFill="1" applyBorder="1" applyAlignment="1" applyProtection="1">
      <alignment horizontal="center"/>
      <protection locked="0"/>
    </xf>
    <xf numFmtId="0" fontId="10" fillId="0" borderId="0" xfId="0" applyFont="1" applyBorder="1" applyAlignment="1" applyProtection="1">
      <alignment/>
      <protection/>
    </xf>
    <xf numFmtId="164" fontId="10" fillId="0" borderId="0" xfId="0" applyNumberFormat="1" applyFont="1" applyBorder="1" applyAlignment="1" applyProtection="1">
      <alignment/>
      <protection/>
    </xf>
    <xf numFmtId="0" fontId="11" fillId="0" borderId="0" xfId="0" applyFont="1" applyBorder="1" applyAlignment="1" applyProtection="1">
      <alignment/>
      <protection/>
    </xf>
    <xf numFmtId="0" fontId="10" fillId="0" borderId="0" xfId="0" applyFont="1" applyFill="1" applyBorder="1" applyAlignment="1" applyProtection="1">
      <alignment/>
      <protection/>
    </xf>
    <xf numFmtId="0" fontId="10" fillId="35" borderId="10" xfId="0" applyFont="1" applyFill="1" applyBorder="1" applyAlignment="1" applyProtection="1">
      <alignment horizontal="center"/>
      <protection/>
    </xf>
    <xf numFmtId="0" fontId="11" fillId="0" borderId="10" xfId="0" applyFont="1" applyBorder="1" applyAlignment="1" applyProtection="1">
      <alignment horizontal="center"/>
      <protection/>
    </xf>
    <xf numFmtId="0" fontId="11" fillId="0" borderId="10" xfId="0" applyFont="1" applyFill="1" applyBorder="1" applyAlignment="1" applyProtection="1">
      <alignment horizontal="center"/>
      <protection/>
    </xf>
    <xf numFmtId="164" fontId="11" fillId="0" borderId="10" xfId="0" applyNumberFormat="1" applyFont="1" applyFill="1" applyBorder="1" applyAlignment="1" applyProtection="1">
      <alignment horizontal="center" wrapText="1"/>
      <protection/>
    </xf>
    <xf numFmtId="0" fontId="11" fillId="0" borderId="0" xfId="0" applyFont="1" applyAlignment="1" applyProtection="1">
      <alignment horizontal="center" wrapText="1"/>
      <protection/>
    </xf>
    <xf numFmtId="0" fontId="10" fillId="0" borderId="10" xfId="0" applyFont="1" applyBorder="1" applyAlignment="1" applyProtection="1">
      <alignment/>
      <protection/>
    </xf>
    <xf numFmtId="1" fontId="10" fillId="0" borderId="10" xfId="0" applyNumberFormat="1" applyFont="1" applyFill="1" applyBorder="1" applyAlignment="1" applyProtection="1">
      <alignment horizontal="center"/>
      <protection/>
    </xf>
    <xf numFmtId="164" fontId="10" fillId="0" borderId="10" xfId="0" applyNumberFormat="1" applyFont="1" applyFill="1" applyBorder="1" applyAlignment="1" applyProtection="1">
      <alignment horizontal="center"/>
      <protection/>
    </xf>
    <xf numFmtId="0" fontId="4"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4" fillId="33" borderId="13" xfId="0" applyFont="1" applyFill="1" applyBorder="1" applyAlignment="1" applyProtection="1">
      <alignment horizontal="center"/>
      <protection locked="0"/>
    </xf>
    <xf numFmtId="0" fontId="4" fillId="33" borderId="13" xfId="0" applyFont="1" applyFill="1" applyBorder="1" applyAlignment="1" applyProtection="1">
      <alignment/>
      <protection locked="0"/>
    </xf>
    <xf numFmtId="0" fontId="4" fillId="0" borderId="0" xfId="0" applyFont="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14" xfId="0" applyFont="1" applyFill="1" applyBorder="1" applyAlignment="1" applyProtection="1">
      <alignment horizontal="center"/>
      <protection/>
    </xf>
    <xf numFmtId="0" fontId="13" fillId="0" borderId="15" xfId="0" applyFont="1" applyBorder="1" applyAlignment="1" applyProtection="1">
      <alignment horizontal="center"/>
      <protection/>
    </xf>
    <xf numFmtId="9" fontId="4" fillId="0" borderId="10" xfId="0" applyNumberFormat="1" applyFont="1" applyBorder="1" applyAlignment="1" applyProtection="1">
      <alignment horizontal="center"/>
      <protection/>
    </xf>
    <xf numFmtId="9" fontId="4" fillId="0" borderId="16" xfId="0" applyNumberFormat="1" applyFont="1" applyBorder="1" applyAlignment="1" applyProtection="1">
      <alignment horizontal="center"/>
      <protection/>
    </xf>
    <xf numFmtId="9" fontId="3" fillId="33" borderId="13" xfId="58" applyFont="1" applyFill="1" applyBorder="1" applyAlignment="1" applyProtection="1">
      <alignment horizontal="center"/>
      <protection locked="0"/>
    </xf>
    <xf numFmtId="0" fontId="4" fillId="0" borderId="15" xfId="0" applyFont="1" applyBorder="1" applyAlignment="1" applyProtection="1">
      <alignment horizontal="center"/>
      <protection/>
    </xf>
    <xf numFmtId="1" fontId="3" fillId="0" borderId="10" xfId="0" applyNumberFormat="1" applyFont="1" applyBorder="1" applyAlignment="1" applyProtection="1">
      <alignment horizontal="center"/>
      <protection/>
    </xf>
    <xf numFmtId="1" fontId="3" fillId="35" borderId="17" xfId="0" applyNumberFormat="1" applyFont="1" applyFill="1" applyBorder="1" applyAlignment="1" applyProtection="1">
      <alignment horizontal="center"/>
      <protection/>
    </xf>
    <xf numFmtId="1" fontId="3" fillId="35" borderId="18" xfId="0" applyNumberFormat="1" applyFont="1" applyFill="1" applyBorder="1" applyAlignment="1" applyProtection="1">
      <alignment horizontal="center"/>
      <protection/>
    </xf>
    <xf numFmtId="0" fontId="4" fillId="0" borderId="19" xfId="0" applyFont="1" applyBorder="1" applyAlignment="1" applyProtection="1">
      <alignment horizontal="center"/>
      <protection/>
    </xf>
    <xf numFmtId="0" fontId="3" fillId="33" borderId="13" xfId="0" applyFont="1" applyFill="1" applyBorder="1" applyAlignment="1" applyProtection="1">
      <alignment horizontal="center"/>
      <protection locked="0"/>
    </xf>
    <xf numFmtId="1" fontId="3" fillId="35" borderId="20" xfId="0" applyNumberFormat="1" applyFont="1" applyFill="1" applyBorder="1" applyAlignment="1" applyProtection="1">
      <alignment horizontal="center"/>
      <protection/>
    </xf>
    <xf numFmtId="1" fontId="3" fillId="35" borderId="21" xfId="0" applyNumberFormat="1" applyFont="1" applyFill="1" applyBorder="1" applyAlignment="1" applyProtection="1">
      <alignment horizontal="center"/>
      <protection/>
    </xf>
    <xf numFmtId="1" fontId="3" fillId="35" borderId="22" xfId="0" applyNumberFormat="1" applyFont="1" applyFill="1" applyBorder="1" applyAlignment="1" applyProtection="1">
      <alignment horizontal="center"/>
      <protection/>
    </xf>
    <xf numFmtId="0" fontId="14" fillId="0" borderId="0" xfId="0" applyFont="1" applyAlignment="1" applyProtection="1">
      <alignment/>
      <protection/>
    </xf>
    <xf numFmtId="49" fontId="14" fillId="0" borderId="0" xfId="0" applyNumberFormat="1" applyFont="1" applyAlignment="1" applyProtection="1">
      <alignment horizontal="center"/>
      <protection/>
    </xf>
    <xf numFmtId="165" fontId="14" fillId="0" borderId="0" xfId="0" applyNumberFormat="1" applyFont="1" applyAlignment="1" applyProtection="1">
      <alignment/>
      <protection/>
    </xf>
    <xf numFmtId="0" fontId="14" fillId="0" borderId="0" xfId="0" applyFont="1" applyAlignment="1" applyProtection="1">
      <alignment horizontal="center"/>
      <protection/>
    </xf>
    <xf numFmtId="0" fontId="15" fillId="0" borderId="0" xfId="0" applyFont="1" applyAlignment="1" applyProtection="1">
      <alignment horizontal="center"/>
      <protection/>
    </xf>
    <xf numFmtId="49" fontId="15" fillId="0" borderId="0" xfId="0" applyNumberFormat="1" applyFont="1" applyAlignment="1" applyProtection="1">
      <alignment horizontal="center"/>
      <protection/>
    </xf>
    <xf numFmtId="165" fontId="15" fillId="0" borderId="0" xfId="0" applyNumberFormat="1" applyFont="1" applyAlignment="1" applyProtection="1">
      <alignment horizontal="center"/>
      <protection/>
    </xf>
    <xf numFmtId="0" fontId="15" fillId="0" borderId="0" xfId="0" applyFont="1" applyAlignment="1" applyProtection="1">
      <alignment/>
      <protection/>
    </xf>
    <xf numFmtId="165" fontId="15" fillId="0" borderId="0" xfId="0" applyNumberFormat="1" applyFont="1" applyBorder="1" applyAlignment="1" applyProtection="1">
      <alignment horizontal="center"/>
      <protection/>
    </xf>
    <xf numFmtId="0" fontId="10" fillId="33" borderId="10" xfId="0" applyFont="1" applyFill="1" applyBorder="1" applyAlignment="1" applyProtection="1">
      <alignment/>
      <protection locked="0"/>
    </xf>
    <xf numFmtId="0" fontId="16" fillId="0" borderId="10" xfId="0" applyNumberFormat="1" applyFont="1" applyFill="1" applyBorder="1" applyAlignment="1" applyProtection="1">
      <alignment horizontal="center" vertical="top"/>
      <protection/>
    </xf>
    <xf numFmtId="165" fontId="10" fillId="0" borderId="10" xfId="0" applyNumberFormat="1" applyFont="1" applyFill="1" applyBorder="1" applyAlignment="1" applyProtection="1">
      <alignment/>
      <protection/>
    </xf>
    <xf numFmtId="165" fontId="16" fillId="0" borderId="10" xfId="0" applyNumberFormat="1" applyFont="1" applyFill="1" applyBorder="1" applyAlignment="1" applyProtection="1">
      <alignment horizontal="right" vertical="top"/>
      <protection/>
    </xf>
    <xf numFmtId="164" fontId="10" fillId="0" borderId="10" xfId="0" applyNumberFormat="1" applyFont="1" applyFill="1" applyBorder="1" applyAlignment="1" applyProtection="1">
      <alignment/>
      <protection/>
    </xf>
    <xf numFmtId="0" fontId="10" fillId="0" borderId="10" xfId="0" applyFont="1" applyFill="1" applyBorder="1" applyAlignment="1" applyProtection="1">
      <alignment/>
      <protection/>
    </xf>
    <xf numFmtId="0" fontId="17" fillId="0" borderId="10" xfId="0" applyNumberFormat="1" applyFont="1" applyFill="1" applyBorder="1" applyAlignment="1" applyProtection="1">
      <alignment horizontal="center" vertical="top"/>
      <protection/>
    </xf>
    <xf numFmtId="0" fontId="17" fillId="0" borderId="10" xfId="0" applyFont="1" applyFill="1" applyBorder="1" applyAlignment="1" applyProtection="1">
      <alignment horizontal="center" wrapText="1"/>
      <protection/>
    </xf>
    <xf numFmtId="165" fontId="17" fillId="0" borderId="10" xfId="0" applyNumberFormat="1" applyFont="1" applyFill="1" applyBorder="1" applyAlignment="1" applyProtection="1">
      <alignment horizontal="right" wrapText="1"/>
      <protection/>
    </xf>
    <xf numFmtId="0" fontId="17" fillId="0" borderId="10" xfId="0" applyFont="1" applyBorder="1" applyAlignment="1" applyProtection="1">
      <alignment horizontal="center" wrapText="1"/>
      <protection/>
    </xf>
    <xf numFmtId="165" fontId="10" fillId="0" borderId="10" xfId="0" applyNumberFormat="1" applyFont="1" applyBorder="1" applyAlignment="1" applyProtection="1">
      <alignment horizontal="right"/>
      <protection/>
    </xf>
    <xf numFmtId="0" fontId="17" fillId="33" borderId="10" xfId="0" applyFont="1" applyFill="1" applyBorder="1" applyAlignment="1" applyProtection="1">
      <alignment horizontal="center" wrapText="1"/>
      <protection locked="0"/>
    </xf>
    <xf numFmtId="0" fontId="17" fillId="0" borderId="0" xfId="0" applyFont="1" applyFill="1" applyBorder="1" applyAlignment="1" applyProtection="1">
      <alignment horizontal="center" wrapText="1"/>
      <protection/>
    </xf>
    <xf numFmtId="165" fontId="10" fillId="0" borderId="0" xfId="0" applyNumberFormat="1" applyFont="1" applyAlignment="1" applyProtection="1">
      <alignment/>
      <protection/>
    </xf>
    <xf numFmtId="0" fontId="11" fillId="0" borderId="0" xfId="0" applyFont="1" applyAlignment="1" applyProtection="1">
      <alignment horizontal="center"/>
      <protection/>
    </xf>
    <xf numFmtId="166" fontId="11" fillId="0" borderId="0" xfId="0" applyNumberFormat="1" applyFont="1" applyAlignment="1" applyProtection="1">
      <alignment/>
      <protection/>
    </xf>
    <xf numFmtId="49" fontId="10" fillId="0" borderId="0" xfId="0" applyNumberFormat="1" applyFont="1" applyAlignment="1" applyProtection="1">
      <alignment horizontal="center"/>
      <protection/>
    </xf>
    <xf numFmtId="0" fontId="11" fillId="0" borderId="0" xfId="0" applyFont="1" applyAlignment="1" applyProtection="1">
      <alignment horizontal="right"/>
      <protection/>
    </xf>
    <xf numFmtId="0" fontId="8" fillId="0" borderId="23" xfId="0" applyFont="1" applyBorder="1" applyAlignment="1" applyProtection="1">
      <alignment vertical="center"/>
      <protection/>
    </xf>
    <xf numFmtId="0" fontId="7" fillId="0" borderId="23" xfId="0" applyFont="1" applyBorder="1" applyAlignment="1" applyProtection="1">
      <alignment vertical="center"/>
      <protection/>
    </xf>
    <xf numFmtId="1" fontId="7" fillId="33" borderId="23" xfId="0" applyNumberFormat="1" applyFont="1" applyFill="1" applyBorder="1" applyAlignment="1" applyProtection="1">
      <alignment vertical="center"/>
      <protection locked="0"/>
    </xf>
    <xf numFmtId="164" fontId="8" fillId="0" borderId="23" xfId="0" applyNumberFormat="1" applyFont="1" applyBorder="1" applyAlignment="1" applyProtection="1">
      <alignment vertical="center"/>
      <protection/>
    </xf>
    <xf numFmtId="1" fontId="7" fillId="36" borderId="23" xfId="0" applyNumberFormat="1" applyFont="1" applyFill="1" applyBorder="1" applyAlignment="1" applyProtection="1">
      <alignment vertical="center"/>
      <protection locked="0"/>
    </xf>
    <xf numFmtId="1" fontId="8" fillId="0" borderId="23" xfId="0" applyNumberFormat="1" applyFont="1" applyFill="1" applyBorder="1" applyAlignment="1" applyProtection="1">
      <alignment vertical="center"/>
      <protection/>
    </xf>
    <xf numFmtId="0" fontId="0" fillId="0" borderId="0" xfId="0" applyAlignment="1" applyProtection="1">
      <alignment vertical="top"/>
      <protection/>
    </xf>
    <xf numFmtId="0" fontId="0" fillId="0" borderId="23" xfId="0" applyBorder="1" applyAlignment="1" applyProtection="1">
      <alignment vertical="top"/>
      <protection/>
    </xf>
    <xf numFmtId="0" fontId="0" fillId="36" borderId="23" xfId="0" applyFill="1" applyBorder="1" applyAlignment="1" applyProtection="1">
      <alignment vertical="top"/>
      <protection locked="0"/>
    </xf>
    <xf numFmtId="0" fontId="0" fillId="0" borderId="0" xfId="0" applyFont="1" applyBorder="1" applyAlignment="1">
      <alignment horizontal="left" vertical="top" wrapText="1"/>
    </xf>
    <xf numFmtId="0" fontId="6" fillId="37" borderId="10" xfId="0" applyFont="1" applyFill="1" applyBorder="1" applyAlignment="1" applyProtection="1">
      <alignment horizontal="center"/>
      <protection/>
    </xf>
    <xf numFmtId="0" fontId="6" fillId="38" borderId="10" xfId="0" applyFont="1" applyFill="1" applyBorder="1" applyAlignment="1" applyProtection="1">
      <alignment horizontal="center" vertical="center" textRotation="90"/>
      <protection/>
    </xf>
    <xf numFmtId="0" fontId="8" fillId="0" borderId="0" xfId="0" applyNumberFormat="1" applyFont="1" applyBorder="1" applyAlignment="1" applyProtection="1">
      <alignment horizontal="left" vertical="center"/>
      <protection/>
    </xf>
    <xf numFmtId="0" fontId="10" fillId="35" borderId="24" xfId="0" applyFont="1" applyFill="1" applyBorder="1" applyAlignment="1" applyProtection="1">
      <alignment horizontal="center"/>
      <protection/>
    </xf>
    <xf numFmtId="0" fontId="10" fillId="35" borderId="10" xfId="0" applyFont="1" applyFill="1" applyBorder="1" applyAlignment="1" applyProtection="1">
      <alignment horizontal="center"/>
      <protection/>
    </xf>
    <xf numFmtId="0" fontId="4" fillId="0" borderId="25" xfId="0" applyFont="1" applyBorder="1" applyAlignment="1" applyProtection="1">
      <alignment horizontal="left"/>
      <protection/>
    </xf>
    <xf numFmtId="0" fontId="4" fillId="0" borderId="13" xfId="0" applyFont="1" applyBorder="1" applyAlignment="1" applyProtection="1">
      <alignment horizontal="left"/>
      <protection/>
    </xf>
    <xf numFmtId="0" fontId="4" fillId="38" borderId="26" xfId="0" applyFont="1" applyFill="1" applyBorder="1" applyAlignment="1" applyProtection="1">
      <alignment horizontal="center"/>
      <protection/>
    </xf>
    <xf numFmtId="0" fontId="5" fillId="38" borderId="16" xfId="0" applyFont="1" applyFill="1" applyBorder="1" applyAlignment="1" applyProtection="1">
      <alignment vertical="center" textRotation="90"/>
      <protection/>
    </xf>
    <xf numFmtId="0" fontId="5" fillId="38" borderId="27" xfId="0" applyFont="1" applyFill="1" applyBorder="1" applyAlignment="1" applyProtection="1">
      <alignment vertical="center" textRotation="90"/>
      <protection/>
    </xf>
    <xf numFmtId="0" fontId="4" fillId="38" borderId="10" xfId="0" applyFont="1" applyFill="1" applyBorder="1" applyAlignment="1" applyProtection="1">
      <alignment horizontal="center"/>
      <protection/>
    </xf>
    <xf numFmtId="0" fontId="11" fillId="35" borderId="10" xfId="0" applyFont="1" applyFill="1" applyBorder="1" applyAlignment="1" applyProtection="1">
      <alignment horizontal="center"/>
      <protection/>
    </xf>
    <xf numFmtId="0" fontId="10" fillId="39" borderId="10"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AAAA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singedgeservices@gmail.com"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mailto:wyomingelectrician@gmail.co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wyomingelectrician@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wyomingelectrician@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wyomingelectrician@gmail.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wyomingelectrician@gmail.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wyomingelectrician@gmail.com" TargetMode="Externa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mailto:wyomingelectrician@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wyomingelectrician@gmail.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wyomingelectrician@gmail.com"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6"/>
  <sheetViews>
    <sheetView zoomScalePageLayoutView="0" workbookViewId="0" topLeftCell="A7">
      <selection activeCell="A3" sqref="A3:G12"/>
    </sheetView>
  </sheetViews>
  <sheetFormatPr defaultColWidth="8.796875" defaultRowHeight="15"/>
  <sheetData>
    <row r="1" ht="15">
      <c r="A1" t="s">
        <v>0</v>
      </c>
    </row>
    <row r="3" spans="1:7" ht="12.75" customHeight="1">
      <c r="A3" s="199" t="s">
        <v>1</v>
      </c>
      <c r="B3" s="199"/>
      <c r="C3" s="199"/>
      <c r="D3" s="199"/>
      <c r="E3" s="199"/>
      <c r="F3" s="199"/>
      <c r="G3" s="199"/>
    </row>
    <row r="4" spans="1:7" ht="15">
      <c r="A4" s="199"/>
      <c r="B4" s="199"/>
      <c r="C4" s="199"/>
      <c r="D4" s="199"/>
      <c r="E4" s="199"/>
      <c r="F4" s="199"/>
      <c r="G4" s="199"/>
    </row>
    <row r="5" spans="1:7" ht="15">
      <c r="A5" s="199"/>
      <c r="B5" s="199"/>
      <c r="C5" s="199"/>
      <c r="D5" s="199"/>
      <c r="E5" s="199"/>
      <c r="F5" s="199"/>
      <c r="G5" s="199"/>
    </row>
    <row r="6" spans="1:7" ht="15">
      <c r="A6" s="199"/>
      <c r="B6" s="199"/>
      <c r="C6" s="199"/>
      <c r="D6" s="199"/>
      <c r="E6" s="199"/>
      <c r="F6" s="199"/>
      <c r="G6" s="199"/>
    </row>
    <row r="7" spans="1:7" ht="15">
      <c r="A7" s="199"/>
      <c r="B7" s="199"/>
      <c r="C7" s="199"/>
      <c r="D7" s="199"/>
      <c r="E7" s="199"/>
      <c r="F7" s="199"/>
      <c r="G7" s="199"/>
    </row>
    <row r="8" spans="1:7" ht="15">
      <c r="A8" s="199"/>
      <c r="B8" s="199"/>
      <c r="C8" s="199"/>
      <c r="D8" s="199"/>
      <c r="E8" s="199"/>
      <c r="F8" s="199"/>
      <c r="G8" s="199"/>
    </row>
    <row r="9" spans="1:7" ht="15">
      <c r="A9" s="199"/>
      <c r="B9" s="199"/>
      <c r="C9" s="199"/>
      <c r="D9" s="199"/>
      <c r="E9" s="199"/>
      <c r="F9" s="199"/>
      <c r="G9" s="199"/>
    </row>
    <row r="10" spans="1:7" ht="15">
      <c r="A10" s="199"/>
      <c r="B10" s="199"/>
      <c r="C10" s="199"/>
      <c r="D10" s="199"/>
      <c r="E10" s="199"/>
      <c r="F10" s="199"/>
      <c r="G10" s="199"/>
    </row>
    <row r="11" spans="1:7" ht="15">
      <c r="A11" s="199"/>
      <c r="B11" s="199"/>
      <c r="C11" s="199"/>
      <c r="D11" s="199"/>
      <c r="E11" s="199"/>
      <c r="F11" s="199"/>
      <c r="G11" s="199"/>
    </row>
    <row r="12" spans="1:7" ht="15">
      <c r="A12" s="199"/>
      <c r="B12" s="199"/>
      <c r="C12" s="199"/>
      <c r="D12" s="199"/>
      <c r="E12" s="199"/>
      <c r="F12" s="199"/>
      <c r="G12" s="199"/>
    </row>
    <row r="14" ht="15">
      <c r="A14" t="s">
        <v>2</v>
      </c>
    </row>
    <row r="15" ht="15">
      <c r="A15" s="1" t="s">
        <v>3</v>
      </c>
    </row>
    <row r="16" ht="15">
      <c r="A16" t="s">
        <v>4</v>
      </c>
    </row>
  </sheetData>
  <sheetProtection password="83AF" sheet="1"/>
  <mergeCells count="1">
    <mergeCell ref="A3:G12"/>
  </mergeCells>
  <hyperlinks>
    <hyperlink ref="A15" r:id="rId1" display="risingedgeservices@gmail.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B25"/>
  <sheetViews>
    <sheetView zoomScalePageLayoutView="0" workbookViewId="0" topLeftCell="A1">
      <selection activeCell="J3" sqref="J3"/>
    </sheetView>
  </sheetViews>
  <sheetFormatPr defaultColWidth="8.796875" defaultRowHeight="15"/>
  <cols>
    <col min="1" max="1" width="2.796875" style="5" customWidth="1"/>
    <col min="2" max="2" width="6.296875" style="5" customWidth="1"/>
    <col min="3" max="8" width="8.796875" style="5" customWidth="1"/>
    <col min="9" max="9" width="2.796875" style="5" customWidth="1"/>
    <col min="10" max="16384" width="8.796875" style="5" customWidth="1"/>
  </cols>
  <sheetData>
    <row r="1" s="31" customFormat="1" ht="15.75">
      <c r="A1" s="142" t="s">
        <v>5</v>
      </c>
    </row>
    <row r="2" s="31" customFormat="1" ht="15.75">
      <c r="A2" s="142" t="s">
        <v>11</v>
      </c>
    </row>
    <row r="3" s="31" customFormat="1" ht="15.75">
      <c r="A3" s="143" t="s">
        <v>119</v>
      </c>
    </row>
    <row r="4" ht="15.75">
      <c r="A4" s="142"/>
    </row>
    <row r="5" spans="2:8" ht="15.75" customHeight="1">
      <c r="B5" s="144">
        <v>306</v>
      </c>
      <c r="C5" s="205" t="s">
        <v>8</v>
      </c>
      <c r="D5" s="205"/>
      <c r="E5" s="145">
        <v>2.25</v>
      </c>
      <c r="F5" s="206" t="s">
        <v>9</v>
      </c>
      <c r="G5" s="206"/>
      <c r="H5" s="146"/>
    </row>
    <row r="6" spans="2:8" ht="15.75">
      <c r="B6" s="147"/>
      <c r="C6" s="148"/>
      <c r="D6" s="148"/>
      <c r="E6" s="148"/>
      <c r="F6" s="148"/>
      <c r="G6" s="148"/>
      <c r="H6" s="147"/>
    </row>
    <row r="7" spans="2:8" ht="15.75" customHeight="1">
      <c r="B7" s="149"/>
      <c r="C7" s="207" t="s">
        <v>12</v>
      </c>
      <c r="D7" s="207"/>
      <c r="E7" s="207"/>
      <c r="F7" s="207"/>
      <c r="G7" s="207"/>
      <c r="H7" s="207"/>
    </row>
    <row r="8" spans="2:8" ht="15.75">
      <c r="B8" s="150" t="s">
        <v>93</v>
      </c>
      <c r="C8" s="151">
        <v>0.9</v>
      </c>
      <c r="D8" s="151">
        <v>0.85</v>
      </c>
      <c r="E8" s="151">
        <v>0.8</v>
      </c>
      <c r="F8" s="151">
        <v>0.75</v>
      </c>
      <c r="G8" s="152">
        <v>0.7</v>
      </c>
      <c r="H8" s="153">
        <v>0.8</v>
      </c>
    </row>
    <row r="9" spans="1:9" ht="15.75">
      <c r="A9" s="208" t="s">
        <v>10</v>
      </c>
      <c r="B9" s="154">
        <v>1</v>
      </c>
      <c r="C9" s="155">
        <f aca="true" t="shared" si="0" ref="C9:C21">($E$5*$E$5)*0.1166*$B$5*$B9*0.9</f>
        <v>162.5651775</v>
      </c>
      <c r="D9" s="155">
        <f aca="true" t="shared" si="1" ref="D9:D21">($E$5*$E$5)*0.1166*$B$5*$B9*0.85</f>
        <v>153.53377874999998</v>
      </c>
      <c r="E9" s="155">
        <f aca="true" t="shared" si="2" ref="E9:E21">($E$5*$E$5)*0.1166*$B$5*$B9*0.8</f>
        <v>144.50238</v>
      </c>
      <c r="F9" s="155">
        <f aca="true" t="shared" si="3" ref="F9:F21">($E$5*$E$5)*0.1166*$B$5*$B9*0.75</f>
        <v>135.47098125</v>
      </c>
      <c r="G9" s="155">
        <f aca="true" t="shared" si="4" ref="G9:G21">($E$5*$E$5)*0.1166*$B$5*$B9*0.7</f>
        <v>126.43958249999999</v>
      </c>
      <c r="H9" s="156">
        <f aca="true" t="shared" si="5" ref="H9:H21">($E$5*$E$5)*0.1166*$B$5*$B9*$H$8</f>
        <v>144.50238</v>
      </c>
      <c r="I9" s="209" t="s">
        <v>10</v>
      </c>
    </row>
    <row r="10" spans="1:9" ht="15.75">
      <c r="A10" s="208"/>
      <c r="B10" s="154">
        <v>2</v>
      </c>
      <c r="C10" s="155">
        <f t="shared" si="0"/>
        <v>325.130355</v>
      </c>
      <c r="D10" s="155">
        <f t="shared" si="1"/>
        <v>307.06755749999996</v>
      </c>
      <c r="E10" s="155">
        <f t="shared" si="2"/>
        <v>289.00476</v>
      </c>
      <c r="F10" s="155">
        <f t="shared" si="3"/>
        <v>270.9419625</v>
      </c>
      <c r="G10" s="155">
        <f t="shared" si="4"/>
        <v>252.87916499999997</v>
      </c>
      <c r="H10" s="157">
        <f t="shared" si="5"/>
        <v>289.00476</v>
      </c>
      <c r="I10" s="209"/>
    </row>
    <row r="11" spans="1:9" ht="15.75">
      <c r="A11" s="208"/>
      <c r="B11" s="154">
        <v>3</v>
      </c>
      <c r="C11" s="155">
        <f t="shared" si="0"/>
        <v>487.6955325</v>
      </c>
      <c r="D11" s="155">
        <f t="shared" si="1"/>
        <v>460.60133625</v>
      </c>
      <c r="E11" s="155">
        <f t="shared" si="2"/>
        <v>433.50714</v>
      </c>
      <c r="F11" s="155">
        <f t="shared" si="3"/>
        <v>406.41294374999995</v>
      </c>
      <c r="G11" s="155">
        <f t="shared" si="4"/>
        <v>379.3187475</v>
      </c>
      <c r="H11" s="157">
        <f t="shared" si="5"/>
        <v>433.50714</v>
      </c>
      <c r="I11" s="209"/>
    </row>
    <row r="12" spans="1:9" ht="15.75">
      <c r="A12" s="208"/>
      <c r="B12" s="154">
        <v>4</v>
      </c>
      <c r="C12" s="155">
        <f t="shared" si="0"/>
        <v>650.26071</v>
      </c>
      <c r="D12" s="155">
        <f t="shared" si="1"/>
        <v>614.1351149999999</v>
      </c>
      <c r="E12" s="155">
        <f t="shared" si="2"/>
        <v>578.00952</v>
      </c>
      <c r="F12" s="155">
        <f t="shared" si="3"/>
        <v>541.883925</v>
      </c>
      <c r="G12" s="155">
        <f t="shared" si="4"/>
        <v>505.75832999999994</v>
      </c>
      <c r="H12" s="157">
        <f t="shared" si="5"/>
        <v>578.00952</v>
      </c>
      <c r="I12" s="209"/>
    </row>
    <row r="13" spans="1:9" ht="15.75">
      <c r="A13" s="208"/>
      <c r="B13" s="154">
        <v>5</v>
      </c>
      <c r="C13" s="155">
        <f t="shared" si="0"/>
        <v>812.8258875</v>
      </c>
      <c r="D13" s="155">
        <f t="shared" si="1"/>
        <v>767.6688937499999</v>
      </c>
      <c r="E13" s="155">
        <f t="shared" si="2"/>
        <v>722.5119</v>
      </c>
      <c r="F13" s="155">
        <f t="shared" si="3"/>
        <v>677.35490625</v>
      </c>
      <c r="G13" s="155">
        <f t="shared" si="4"/>
        <v>632.1979124999999</v>
      </c>
      <c r="H13" s="157">
        <f t="shared" si="5"/>
        <v>722.5119</v>
      </c>
      <c r="I13" s="209"/>
    </row>
    <row r="14" spans="1:9" ht="15.75">
      <c r="A14" s="208"/>
      <c r="B14" s="154">
        <v>6</v>
      </c>
      <c r="C14" s="155">
        <f t="shared" si="0"/>
        <v>975.391065</v>
      </c>
      <c r="D14" s="155">
        <f t="shared" si="1"/>
        <v>921.2026725</v>
      </c>
      <c r="E14" s="155">
        <f t="shared" si="2"/>
        <v>867.01428</v>
      </c>
      <c r="F14" s="155">
        <f t="shared" si="3"/>
        <v>812.8258874999999</v>
      </c>
      <c r="G14" s="155">
        <f t="shared" si="4"/>
        <v>758.637495</v>
      </c>
      <c r="H14" s="157">
        <f t="shared" si="5"/>
        <v>867.01428</v>
      </c>
      <c r="I14" s="209"/>
    </row>
    <row r="15" spans="1:9" ht="15.75">
      <c r="A15" s="208"/>
      <c r="B15" s="154">
        <v>7</v>
      </c>
      <c r="C15" s="155">
        <f t="shared" si="0"/>
        <v>1137.9562425000001</v>
      </c>
      <c r="D15" s="155">
        <f t="shared" si="1"/>
        <v>1074.73645125</v>
      </c>
      <c r="E15" s="155">
        <f t="shared" si="2"/>
        <v>1011.5166600000001</v>
      </c>
      <c r="F15" s="155">
        <f t="shared" si="3"/>
        <v>948.29686875</v>
      </c>
      <c r="G15" s="155">
        <f t="shared" si="4"/>
        <v>885.0770775</v>
      </c>
      <c r="H15" s="157">
        <f t="shared" si="5"/>
        <v>1011.5166600000001</v>
      </c>
      <c r="I15" s="209"/>
    </row>
    <row r="16" spans="1:9" ht="15.75">
      <c r="A16" s="208"/>
      <c r="B16" s="154">
        <v>8</v>
      </c>
      <c r="C16" s="155">
        <f t="shared" si="0"/>
        <v>1300.52142</v>
      </c>
      <c r="D16" s="155">
        <f t="shared" si="1"/>
        <v>1228.2702299999999</v>
      </c>
      <c r="E16" s="155">
        <f t="shared" si="2"/>
        <v>1156.01904</v>
      </c>
      <c r="F16" s="155">
        <f t="shared" si="3"/>
        <v>1083.76785</v>
      </c>
      <c r="G16" s="155">
        <f t="shared" si="4"/>
        <v>1011.5166599999999</v>
      </c>
      <c r="H16" s="157">
        <f t="shared" si="5"/>
        <v>1156.01904</v>
      </c>
      <c r="I16" s="209"/>
    </row>
    <row r="17" spans="1:9" ht="15.75">
      <c r="A17" s="208"/>
      <c r="B17" s="154">
        <v>9</v>
      </c>
      <c r="C17" s="155">
        <f t="shared" si="0"/>
        <v>1463.0865975</v>
      </c>
      <c r="D17" s="155">
        <f t="shared" si="1"/>
        <v>1381.8040087499999</v>
      </c>
      <c r="E17" s="155">
        <f t="shared" si="2"/>
        <v>1300.52142</v>
      </c>
      <c r="F17" s="155">
        <f t="shared" si="3"/>
        <v>1219.2388312499997</v>
      </c>
      <c r="G17" s="155">
        <f t="shared" si="4"/>
        <v>1137.9562424999997</v>
      </c>
      <c r="H17" s="157">
        <f t="shared" si="5"/>
        <v>1300.52142</v>
      </c>
      <c r="I17" s="209"/>
    </row>
    <row r="18" spans="1:9" ht="15.75">
      <c r="A18" s="208"/>
      <c r="B18" s="154">
        <v>10</v>
      </c>
      <c r="C18" s="155">
        <f t="shared" si="0"/>
        <v>1625.651775</v>
      </c>
      <c r="D18" s="155">
        <f t="shared" si="1"/>
        <v>1535.3377874999999</v>
      </c>
      <c r="E18" s="155">
        <f t="shared" si="2"/>
        <v>1445.0238</v>
      </c>
      <c r="F18" s="155">
        <f t="shared" si="3"/>
        <v>1354.7098125</v>
      </c>
      <c r="G18" s="155">
        <f t="shared" si="4"/>
        <v>1264.3958249999998</v>
      </c>
      <c r="H18" s="157">
        <f t="shared" si="5"/>
        <v>1445.0238</v>
      </c>
      <c r="I18" s="209"/>
    </row>
    <row r="19" spans="1:9" ht="15.75">
      <c r="A19" s="208"/>
      <c r="B19" s="154">
        <v>11</v>
      </c>
      <c r="C19" s="155">
        <f t="shared" si="0"/>
        <v>1788.2169525000002</v>
      </c>
      <c r="D19" s="155">
        <f t="shared" si="1"/>
        <v>1688.87156625</v>
      </c>
      <c r="E19" s="155">
        <f t="shared" si="2"/>
        <v>1589.52618</v>
      </c>
      <c r="F19" s="155">
        <f t="shared" si="3"/>
        <v>1490.18079375</v>
      </c>
      <c r="G19" s="155">
        <f t="shared" si="4"/>
        <v>1390.8354075</v>
      </c>
      <c r="H19" s="157">
        <f t="shared" si="5"/>
        <v>1589.52618</v>
      </c>
      <c r="I19" s="209"/>
    </row>
    <row r="20" spans="1:9" ht="15.75">
      <c r="A20" s="208"/>
      <c r="B20" s="158">
        <v>12</v>
      </c>
      <c r="C20" s="155">
        <f t="shared" si="0"/>
        <v>1950.78213</v>
      </c>
      <c r="D20" s="155">
        <f t="shared" si="1"/>
        <v>1842.405345</v>
      </c>
      <c r="E20" s="155">
        <f t="shared" si="2"/>
        <v>1734.02856</v>
      </c>
      <c r="F20" s="155">
        <f t="shared" si="3"/>
        <v>1625.6517749999998</v>
      </c>
      <c r="G20" s="155">
        <f t="shared" si="4"/>
        <v>1517.27499</v>
      </c>
      <c r="H20" s="157">
        <f t="shared" si="5"/>
        <v>1734.02856</v>
      </c>
      <c r="I20" s="209"/>
    </row>
    <row r="21" spans="1:9" ht="15.75">
      <c r="A21" s="208"/>
      <c r="B21" s="159">
        <v>4.4</v>
      </c>
      <c r="C21" s="160">
        <f t="shared" si="0"/>
        <v>715.286781</v>
      </c>
      <c r="D21" s="161">
        <f t="shared" si="1"/>
        <v>675.5486265</v>
      </c>
      <c r="E21" s="161">
        <f t="shared" si="2"/>
        <v>635.8104720000001</v>
      </c>
      <c r="F21" s="161">
        <f t="shared" si="3"/>
        <v>596.0723175</v>
      </c>
      <c r="G21" s="161">
        <f t="shared" si="4"/>
        <v>556.334163</v>
      </c>
      <c r="H21" s="162">
        <f t="shared" si="5"/>
        <v>635.8104720000001</v>
      </c>
      <c r="I21" s="209"/>
    </row>
    <row r="22" spans="3:8" ht="15.75">
      <c r="C22" s="210" t="s">
        <v>12</v>
      </c>
      <c r="D22" s="210"/>
      <c r="E22" s="210"/>
      <c r="F22" s="210"/>
      <c r="G22" s="210"/>
      <c r="H22" s="210"/>
    </row>
    <row r="24" spans="1:28" s="16" customFormat="1" ht="15.75">
      <c r="A24" s="16" t="s">
        <v>14</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row>
    <row r="25" spans="1:28" s="16" customFormat="1" ht="15.75">
      <c r="A25" s="16" t="s">
        <v>15</v>
      </c>
      <c r="B25"/>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sheetData>
  <sheetProtection password="83AF" sheet="1" objects="1" scenarios="1"/>
  <mergeCells count="6">
    <mergeCell ref="C5:D5"/>
    <mergeCell ref="F5:G5"/>
    <mergeCell ref="C7:H7"/>
    <mergeCell ref="A9:A21"/>
    <mergeCell ref="I9:I21"/>
    <mergeCell ref="C22:H22"/>
  </mergeCells>
  <hyperlinks>
    <hyperlink ref="A25" r:id="rId1" display="Please send comments or suggestions to risingedgeservices@gmail.com"/>
  </hyperlinks>
  <printOptions/>
  <pageMargins left="0.7" right="0.7" top="0.75" bottom="0.75" header="0.5118055555555555" footer="0.5118055555555555"/>
  <pageSetup horizontalDpi="300" verticalDpi="30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Z83"/>
  <sheetViews>
    <sheetView zoomScalePageLayoutView="0" workbookViewId="0" topLeftCell="A7">
      <selection activeCell="H15" sqref="H15"/>
    </sheetView>
  </sheetViews>
  <sheetFormatPr defaultColWidth="8.796875" defaultRowHeight="15"/>
  <cols>
    <col min="1" max="1" width="7.59765625" style="163" customWidth="1"/>
    <col min="2" max="2" width="7.59765625" style="164" customWidth="1"/>
    <col min="3" max="4" width="7.59765625" style="165" customWidth="1"/>
    <col min="5" max="5" width="7.59765625" style="166" customWidth="1"/>
    <col min="6" max="7" width="7.59765625" style="163" customWidth="1"/>
    <col min="8" max="16384" width="8.796875" style="163" customWidth="1"/>
  </cols>
  <sheetData>
    <row r="1" spans="1:7" s="170" customFormat="1" ht="12.75">
      <c r="A1" s="167" t="s">
        <v>120</v>
      </c>
      <c r="B1" s="168" t="s">
        <v>121</v>
      </c>
      <c r="C1" s="168" t="s">
        <v>121</v>
      </c>
      <c r="D1" s="169" t="s">
        <v>122</v>
      </c>
      <c r="E1" s="167" t="s">
        <v>120</v>
      </c>
      <c r="F1" s="167" t="s">
        <v>123</v>
      </c>
      <c r="G1" s="167" t="s">
        <v>123</v>
      </c>
    </row>
    <row r="2" spans="1:7" s="170" customFormat="1" ht="12.75">
      <c r="A2" s="167" t="s">
        <v>124</v>
      </c>
      <c r="B2" s="168" t="s">
        <v>125</v>
      </c>
      <c r="C2" s="168" t="s">
        <v>125</v>
      </c>
      <c r="D2" s="171" t="s">
        <v>126</v>
      </c>
      <c r="E2" s="167" t="s">
        <v>127</v>
      </c>
      <c r="F2" s="167" t="s">
        <v>128</v>
      </c>
      <c r="G2" s="167" t="s">
        <v>129</v>
      </c>
    </row>
    <row r="3" spans="1:7" ht="12.75" customHeight="1">
      <c r="A3" s="211" t="s">
        <v>130</v>
      </c>
      <c r="B3" s="211"/>
      <c r="C3" s="211"/>
      <c r="D3" s="211"/>
      <c r="E3" s="211"/>
      <c r="F3" s="211"/>
      <c r="G3" s="211"/>
    </row>
    <row r="4" spans="1:7" ht="12.75">
      <c r="A4" s="172">
        <v>0</v>
      </c>
      <c r="B4" s="173" t="s">
        <v>131</v>
      </c>
      <c r="C4" s="174">
        <v>0.625</v>
      </c>
      <c r="D4" s="175">
        <v>1.114</v>
      </c>
      <c r="E4" s="128">
        <v>25</v>
      </c>
      <c r="F4" s="176">
        <f>A4*D4*E4</f>
        <v>0</v>
      </c>
      <c r="G4" s="177">
        <f>A4*E4</f>
        <v>0</v>
      </c>
    </row>
    <row r="5" spans="1:7" ht="12.75">
      <c r="A5" s="172">
        <v>0</v>
      </c>
      <c r="B5" s="173" t="s">
        <v>132</v>
      </c>
      <c r="C5" s="174">
        <v>0.75</v>
      </c>
      <c r="D5" s="175">
        <v>1.634</v>
      </c>
      <c r="E5" s="128">
        <v>25</v>
      </c>
      <c r="F5" s="176">
        <f aca="true" t="shared" si="0" ref="F5:F39">A5*D5*E5</f>
        <v>0</v>
      </c>
      <c r="G5" s="177">
        <f aca="true" t="shared" si="1" ref="G5:G39">A5*E5</f>
        <v>0</v>
      </c>
    </row>
    <row r="6" spans="1:7" ht="12.75">
      <c r="A6" s="172">
        <v>0</v>
      </c>
      <c r="B6" s="173" t="s">
        <v>133</v>
      </c>
      <c r="C6" s="174">
        <v>0.875</v>
      </c>
      <c r="D6" s="175">
        <v>2.224</v>
      </c>
      <c r="E6" s="128">
        <v>25</v>
      </c>
      <c r="F6" s="176">
        <f t="shared" si="0"/>
        <v>0</v>
      </c>
      <c r="G6" s="177">
        <f t="shared" si="1"/>
        <v>0</v>
      </c>
    </row>
    <row r="7" spans="1:7" ht="12.75">
      <c r="A7" s="172">
        <v>0</v>
      </c>
      <c r="B7" s="173" t="s">
        <v>134</v>
      </c>
      <c r="C7" s="174">
        <v>1</v>
      </c>
      <c r="D7" s="175">
        <v>2.904</v>
      </c>
      <c r="E7" s="128">
        <v>25</v>
      </c>
      <c r="F7" s="176">
        <f t="shared" si="0"/>
        <v>0</v>
      </c>
      <c r="G7" s="177">
        <f t="shared" si="1"/>
        <v>0</v>
      </c>
    </row>
    <row r="8" spans="1:7" ht="12.75">
      <c r="A8" s="172">
        <v>0</v>
      </c>
      <c r="B8" s="178" t="s">
        <v>135</v>
      </c>
      <c r="C8" s="174">
        <v>1.125</v>
      </c>
      <c r="D8" s="175">
        <v>3.676</v>
      </c>
      <c r="E8" s="128">
        <v>25</v>
      </c>
      <c r="F8" s="176">
        <f t="shared" si="0"/>
        <v>0</v>
      </c>
      <c r="G8" s="177">
        <f t="shared" si="1"/>
        <v>0</v>
      </c>
    </row>
    <row r="9" spans="1:7" ht="12.75" customHeight="1">
      <c r="A9" s="211" t="s">
        <v>136</v>
      </c>
      <c r="B9" s="211"/>
      <c r="C9" s="211"/>
      <c r="D9" s="211"/>
      <c r="E9" s="211"/>
      <c r="F9" s="211"/>
      <c r="G9" s="211"/>
    </row>
    <row r="10" spans="1:7" ht="12.75">
      <c r="A10" s="172">
        <v>0</v>
      </c>
      <c r="B10" s="179" t="s">
        <v>137</v>
      </c>
      <c r="C10" s="174">
        <v>1.25</v>
      </c>
      <c r="D10" s="180">
        <v>4.172</v>
      </c>
      <c r="E10" s="128">
        <v>25</v>
      </c>
      <c r="F10" s="176">
        <f t="shared" si="0"/>
        <v>0</v>
      </c>
      <c r="G10" s="177">
        <f t="shared" si="1"/>
        <v>0</v>
      </c>
    </row>
    <row r="11" spans="1:7" ht="12.75">
      <c r="A11" s="172">
        <v>0</v>
      </c>
      <c r="B11" s="179" t="s">
        <v>138</v>
      </c>
      <c r="C11" s="174">
        <v>1.375</v>
      </c>
      <c r="D11" s="180">
        <v>5.049</v>
      </c>
      <c r="E11" s="128">
        <v>25</v>
      </c>
      <c r="F11" s="176">
        <f t="shared" si="0"/>
        <v>0</v>
      </c>
      <c r="G11" s="177">
        <f t="shared" si="1"/>
        <v>0</v>
      </c>
    </row>
    <row r="12" spans="1:7" ht="12.75">
      <c r="A12" s="172">
        <v>0</v>
      </c>
      <c r="B12" s="179" t="s">
        <v>139</v>
      </c>
      <c r="C12" s="174">
        <v>1.5</v>
      </c>
      <c r="D12" s="180">
        <v>6.008</v>
      </c>
      <c r="E12" s="128">
        <v>25</v>
      </c>
      <c r="F12" s="176">
        <f t="shared" si="0"/>
        <v>0</v>
      </c>
      <c r="G12" s="177">
        <f t="shared" si="1"/>
        <v>0</v>
      </c>
    </row>
    <row r="13" spans="1:7" ht="12.75">
      <c r="A13" s="172">
        <v>0</v>
      </c>
      <c r="B13" s="179" t="s">
        <v>140</v>
      </c>
      <c r="C13" s="174">
        <v>1.625</v>
      </c>
      <c r="D13" s="180">
        <v>7.051</v>
      </c>
      <c r="E13" s="128">
        <v>25</v>
      </c>
      <c r="F13" s="176">
        <f t="shared" si="0"/>
        <v>0</v>
      </c>
      <c r="G13" s="177">
        <f t="shared" si="1"/>
        <v>0</v>
      </c>
    </row>
    <row r="14" spans="1:7" ht="12.75">
      <c r="A14" s="172">
        <v>0</v>
      </c>
      <c r="B14" s="179" t="s">
        <v>141</v>
      </c>
      <c r="C14" s="174">
        <v>1.75</v>
      </c>
      <c r="D14" s="180">
        <v>8.178</v>
      </c>
      <c r="E14" s="128">
        <v>25</v>
      </c>
      <c r="F14" s="176">
        <f t="shared" si="0"/>
        <v>0</v>
      </c>
      <c r="G14" s="177">
        <f t="shared" si="1"/>
        <v>0</v>
      </c>
    </row>
    <row r="15" spans="1:7" ht="12.75">
      <c r="A15" s="172">
        <v>0</v>
      </c>
      <c r="B15" s="179" t="s">
        <v>142</v>
      </c>
      <c r="C15" s="174">
        <v>2</v>
      </c>
      <c r="D15" s="180">
        <v>10.68</v>
      </c>
      <c r="E15" s="128">
        <v>25</v>
      </c>
      <c r="F15" s="176">
        <f t="shared" si="0"/>
        <v>0</v>
      </c>
      <c r="G15" s="177">
        <f t="shared" si="1"/>
        <v>0</v>
      </c>
    </row>
    <row r="16" spans="1:7" ht="12.75">
      <c r="A16" s="211" t="s">
        <v>143</v>
      </c>
      <c r="B16" s="211"/>
      <c r="C16" s="211"/>
      <c r="D16" s="211"/>
      <c r="E16" s="211"/>
      <c r="F16" s="211"/>
      <c r="G16" s="211"/>
    </row>
    <row r="17" spans="1:7" ht="12.75">
      <c r="A17" s="172">
        <v>0</v>
      </c>
      <c r="B17" s="181" t="s">
        <v>144</v>
      </c>
      <c r="C17" s="174">
        <v>0.625</v>
      </c>
      <c r="D17" s="182">
        <v>2.3</v>
      </c>
      <c r="E17" s="128">
        <v>2</v>
      </c>
      <c r="F17" s="176">
        <f t="shared" si="0"/>
        <v>0</v>
      </c>
      <c r="G17" s="177">
        <f t="shared" si="1"/>
        <v>0</v>
      </c>
    </row>
    <row r="18" spans="1:7" ht="12.75">
      <c r="A18" s="172">
        <v>0</v>
      </c>
      <c r="B18" s="181" t="s">
        <v>145</v>
      </c>
      <c r="C18" s="174">
        <v>0.625</v>
      </c>
      <c r="D18" s="182">
        <v>1.7</v>
      </c>
      <c r="E18" s="125">
        <v>4</v>
      </c>
      <c r="F18" s="176">
        <f t="shared" si="0"/>
        <v>0</v>
      </c>
      <c r="G18" s="177">
        <f t="shared" si="1"/>
        <v>0</v>
      </c>
    </row>
    <row r="19" spans="1:7" ht="12.75">
      <c r="A19" s="172">
        <v>0</v>
      </c>
      <c r="B19" s="181" t="s">
        <v>146</v>
      </c>
      <c r="C19" s="174">
        <v>0.625</v>
      </c>
      <c r="D19" s="182">
        <v>1.45</v>
      </c>
      <c r="E19" s="125">
        <v>6</v>
      </c>
      <c r="F19" s="176">
        <f t="shared" si="0"/>
        <v>0</v>
      </c>
      <c r="G19" s="177">
        <f t="shared" si="1"/>
        <v>0</v>
      </c>
    </row>
    <row r="20" spans="1:7" ht="12.75">
      <c r="A20" s="172">
        <v>0</v>
      </c>
      <c r="B20" s="181" t="s">
        <v>147</v>
      </c>
      <c r="C20" s="174">
        <v>0.625</v>
      </c>
      <c r="D20" s="182">
        <v>1.375</v>
      </c>
      <c r="E20" s="125">
        <v>8</v>
      </c>
      <c r="F20" s="176">
        <f t="shared" si="0"/>
        <v>0</v>
      </c>
      <c r="G20" s="177">
        <f t="shared" si="1"/>
        <v>0</v>
      </c>
    </row>
    <row r="21" spans="1:7" ht="12.75">
      <c r="A21" s="172">
        <v>0</v>
      </c>
      <c r="B21" s="181" t="s">
        <v>148</v>
      </c>
      <c r="C21" s="174">
        <v>0.75</v>
      </c>
      <c r="D21" s="182">
        <v>3</v>
      </c>
      <c r="E21" s="128">
        <v>2</v>
      </c>
      <c r="F21" s="176">
        <f t="shared" si="0"/>
        <v>0</v>
      </c>
      <c r="G21" s="177">
        <f t="shared" si="1"/>
        <v>0</v>
      </c>
    </row>
    <row r="22" spans="1:7" ht="12.75">
      <c r="A22" s="172">
        <v>0</v>
      </c>
      <c r="B22" s="181" t="s">
        <v>149</v>
      </c>
      <c r="C22" s="174">
        <v>0.75</v>
      </c>
      <c r="D22" s="182">
        <v>2.275</v>
      </c>
      <c r="E22" s="125">
        <v>4</v>
      </c>
      <c r="F22" s="176">
        <f t="shared" si="0"/>
        <v>0</v>
      </c>
      <c r="G22" s="177">
        <f t="shared" si="1"/>
        <v>0</v>
      </c>
    </row>
    <row r="23" spans="1:7" ht="12.75">
      <c r="A23" s="172">
        <v>0</v>
      </c>
      <c r="B23" s="181" t="s">
        <v>150</v>
      </c>
      <c r="C23" s="174">
        <v>0.75</v>
      </c>
      <c r="D23" s="182">
        <v>2</v>
      </c>
      <c r="E23" s="125">
        <v>6</v>
      </c>
      <c r="F23" s="176">
        <f t="shared" si="0"/>
        <v>0</v>
      </c>
      <c r="G23" s="177">
        <f t="shared" si="1"/>
        <v>0</v>
      </c>
    </row>
    <row r="24" spans="1:7" ht="12.75">
      <c r="A24" s="172">
        <v>0</v>
      </c>
      <c r="B24" s="181" t="s">
        <v>151</v>
      </c>
      <c r="C24" s="174">
        <v>0.75</v>
      </c>
      <c r="D24" s="182">
        <v>1.875</v>
      </c>
      <c r="E24" s="125">
        <v>8</v>
      </c>
      <c r="F24" s="176">
        <f t="shared" si="0"/>
        <v>0</v>
      </c>
      <c r="G24" s="177">
        <f t="shared" si="1"/>
        <v>0</v>
      </c>
    </row>
    <row r="25" spans="1:7" ht="12.75">
      <c r="A25" s="172">
        <v>0</v>
      </c>
      <c r="B25" s="181" t="s">
        <v>152</v>
      </c>
      <c r="C25" s="174">
        <v>0.875</v>
      </c>
      <c r="D25" s="182">
        <v>3.8</v>
      </c>
      <c r="E25" s="128">
        <v>2</v>
      </c>
      <c r="F25" s="176">
        <f t="shared" si="0"/>
        <v>0</v>
      </c>
      <c r="G25" s="177">
        <f t="shared" si="1"/>
        <v>0</v>
      </c>
    </row>
    <row r="26" spans="1:7" ht="12.75">
      <c r="A26" s="172">
        <v>0</v>
      </c>
      <c r="B26" s="181" t="s">
        <v>153</v>
      </c>
      <c r="C26" s="174">
        <v>0.875</v>
      </c>
      <c r="D26" s="182">
        <v>2.9</v>
      </c>
      <c r="E26" s="125">
        <v>4</v>
      </c>
      <c r="F26" s="176">
        <f t="shared" si="0"/>
        <v>0</v>
      </c>
      <c r="G26" s="177">
        <f t="shared" si="1"/>
        <v>0</v>
      </c>
    </row>
    <row r="27" spans="1:7" ht="12.75">
      <c r="A27" s="172">
        <v>0</v>
      </c>
      <c r="B27" s="181" t="s">
        <v>154</v>
      </c>
      <c r="C27" s="174">
        <v>0.875</v>
      </c>
      <c r="D27" s="182">
        <v>2.5833333333333335</v>
      </c>
      <c r="E27" s="125">
        <v>6</v>
      </c>
      <c r="F27" s="176">
        <f t="shared" si="0"/>
        <v>0</v>
      </c>
      <c r="G27" s="177">
        <f t="shared" si="1"/>
        <v>0</v>
      </c>
    </row>
    <row r="28" spans="1:7" ht="12.75">
      <c r="A28" s="172">
        <v>0</v>
      </c>
      <c r="B28" s="181" t="s">
        <v>155</v>
      </c>
      <c r="C28" s="174">
        <v>0.875</v>
      </c>
      <c r="D28" s="182">
        <v>2.5</v>
      </c>
      <c r="E28" s="125">
        <v>8</v>
      </c>
      <c r="F28" s="176">
        <f t="shared" si="0"/>
        <v>0</v>
      </c>
      <c r="G28" s="177">
        <f t="shared" si="1"/>
        <v>0</v>
      </c>
    </row>
    <row r="29" spans="1:7" ht="12.75">
      <c r="A29" s="172">
        <v>0</v>
      </c>
      <c r="B29" s="181" t="s">
        <v>156</v>
      </c>
      <c r="C29" s="174">
        <v>1</v>
      </c>
      <c r="D29" s="182">
        <v>5.8</v>
      </c>
      <c r="E29" s="128">
        <v>2</v>
      </c>
      <c r="F29" s="176">
        <f t="shared" si="0"/>
        <v>0</v>
      </c>
      <c r="G29" s="177">
        <f t="shared" si="1"/>
        <v>0</v>
      </c>
    </row>
    <row r="30" spans="1:7" ht="12.75">
      <c r="A30" s="172">
        <v>0</v>
      </c>
      <c r="B30" s="181" t="s">
        <v>157</v>
      </c>
      <c r="C30" s="174">
        <v>1</v>
      </c>
      <c r="D30" s="182">
        <v>4.275</v>
      </c>
      <c r="E30" s="125">
        <v>4</v>
      </c>
      <c r="F30" s="176">
        <f t="shared" si="0"/>
        <v>0</v>
      </c>
      <c r="G30" s="177">
        <f t="shared" si="1"/>
        <v>0</v>
      </c>
    </row>
    <row r="31" spans="1:7" ht="12.75">
      <c r="A31" s="172">
        <v>0</v>
      </c>
      <c r="B31" s="181" t="s">
        <v>158</v>
      </c>
      <c r="C31" s="174">
        <v>1</v>
      </c>
      <c r="D31" s="182">
        <v>3.4166666666666665</v>
      </c>
      <c r="E31" s="125">
        <v>6</v>
      </c>
      <c r="F31" s="176">
        <f t="shared" si="0"/>
        <v>0</v>
      </c>
      <c r="G31" s="177">
        <f t="shared" si="1"/>
        <v>0</v>
      </c>
    </row>
    <row r="32" spans="1:7" ht="12.75">
      <c r="A32" s="172">
        <v>0</v>
      </c>
      <c r="B32" s="181" t="s">
        <v>159</v>
      </c>
      <c r="C32" s="174">
        <v>1</v>
      </c>
      <c r="D32" s="182">
        <v>3.475</v>
      </c>
      <c r="E32" s="125">
        <v>8</v>
      </c>
      <c r="F32" s="176">
        <f t="shared" si="0"/>
        <v>0</v>
      </c>
      <c r="G32" s="177">
        <f t="shared" si="1"/>
        <v>0</v>
      </c>
    </row>
    <row r="33" spans="1:7" ht="12.75">
      <c r="A33" s="212" t="s">
        <v>160</v>
      </c>
      <c r="B33" s="212"/>
      <c r="C33" s="212"/>
      <c r="D33" s="212"/>
      <c r="E33" s="212"/>
      <c r="F33" s="212"/>
      <c r="G33" s="212"/>
    </row>
    <row r="34" spans="1:7" ht="12.75">
      <c r="A34" s="172">
        <v>0</v>
      </c>
      <c r="B34" s="183">
        <v>0</v>
      </c>
      <c r="C34" s="183">
        <v>0</v>
      </c>
      <c r="D34" s="183">
        <v>0</v>
      </c>
      <c r="E34" s="183">
        <v>0</v>
      </c>
      <c r="F34" s="176">
        <f t="shared" si="0"/>
        <v>0</v>
      </c>
      <c r="G34" s="177">
        <f t="shared" si="1"/>
        <v>0</v>
      </c>
    </row>
    <row r="35" spans="1:7" ht="12.75">
      <c r="A35" s="172">
        <v>0</v>
      </c>
      <c r="B35" s="183">
        <v>0</v>
      </c>
      <c r="C35" s="183">
        <v>0</v>
      </c>
      <c r="D35" s="183">
        <v>0</v>
      </c>
      <c r="E35" s="183">
        <v>0</v>
      </c>
      <c r="F35" s="176">
        <f t="shared" si="0"/>
        <v>0</v>
      </c>
      <c r="G35" s="177">
        <f t="shared" si="1"/>
        <v>0</v>
      </c>
    </row>
    <row r="36" spans="1:7" ht="12.75">
      <c r="A36" s="172">
        <v>0</v>
      </c>
      <c r="B36" s="183">
        <v>0</v>
      </c>
      <c r="C36" s="183">
        <v>0</v>
      </c>
      <c r="D36" s="183">
        <v>0</v>
      </c>
      <c r="E36" s="183">
        <v>0</v>
      </c>
      <c r="F36" s="176">
        <f t="shared" si="0"/>
        <v>0</v>
      </c>
      <c r="G36" s="177">
        <f t="shared" si="1"/>
        <v>0</v>
      </c>
    </row>
    <row r="37" spans="1:7" ht="12.75">
      <c r="A37" s="172">
        <v>0</v>
      </c>
      <c r="B37" s="183">
        <v>0</v>
      </c>
      <c r="C37" s="183">
        <v>0</v>
      </c>
      <c r="D37" s="183">
        <v>0</v>
      </c>
      <c r="E37" s="183">
        <v>0</v>
      </c>
      <c r="F37" s="176">
        <f t="shared" si="0"/>
        <v>0</v>
      </c>
      <c r="G37" s="177">
        <f t="shared" si="1"/>
        <v>0</v>
      </c>
    </row>
    <row r="38" spans="1:7" ht="12.75">
      <c r="A38" s="172">
        <v>0</v>
      </c>
      <c r="B38" s="183">
        <v>0</v>
      </c>
      <c r="C38" s="183">
        <v>0</v>
      </c>
      <c r="D38" s="183">
        <v>0</v>
      </c>
      <c r="E38" s="183">
        <v>0</v>
      </c>
      <c r="F38" s="176">
        <f t="shared" si="0"/>
        <v>0</v>
      </c>
      <c r="G38" s="177">
        <f t="shared" si="1"/>
        <v>0</v>
      </c>
    </row>
    <row r="39" spans="1:7" ht="12.75">
      <c r="A39" s="172">
        <v>0</v>
      </c>
      <c r="B39" s="183">
        <v>0</v>
      </c>
      <c r="C39" s="183">
        <v>0</v>
      </c>
      <c r="D39" s="183">
        <v>0</v>
      </c>
      <c r="E39" s="183">
        <v>0</v>
      </c>
      <c r="F39" s="176">
        <f t="shared" si="0"/>
        <v>0</v>
      </c>
      <c r="G39" s="177">
        <f t="shared" si="1"/>
        <v>0</v>
      </c>
    </row>
    <row r="40" spans="1:7" ht="12.75">
      <c r="A40" s="112"/>
      <c r="B40" s="184"/>
      <c r="C40" s="185"/>
      <c r="D40" s="185"/>
      <c r="E40" s="186" t="s">
        <v>161</v>
      </c>
      <c r="F40" s="187">
        <f>SUM(F4:F39)</f>
        <v>0</v>
      </c>
      <c r="G40" s="187">
        <f>SUM(G4:G39)</f>
        <v>0</v>
      </c>
    </row>
    <row r="41" spans="1:7" ht="12.75">
      <c r="A41" s="112"/>
      <c r="B41" s="188"/>
      <c r="C41" s="185"/>
      <c r="D41" s="185"/>
      <c r="E41" s="113"/>
      <c r="F41" s="189" t="s">
        <v>162</v>
      </c>
      <c r="G41" s="189" t="s">
        <v>163</v>
      </c>
    </row>
    <row r="42" spans="1:26" s="16" customFormat="1" ht="15.75">
      <c r="A42" s="16" t="s">
        <v>14</v>
      </c>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s="16" customFormat="1" ht="15.75">
      <c r="A43" s="16" t="s">
        <v>15</v>
      </c>
      <c r="B43"/>
      <c r="C43" s="17"/>
      <c r="D43" s="17"/>
      <c r="E43" s="17"/>
      <c r="F43" s="17"/>
      <c r="G43" s="17"/>
      <c r="H43" s="17"/>
      <c r="I43" s="17"/>
      <c r="J43" s="17"/>
      <c r="K43" s="17"/>
      <c r="L43" s="17"/>
      <c r="M43" s="17"/>
      <c r="N43" s="17"/>
      <c r="O43" s="17"/>
      <c r="P43" s="17"/>
      <c r="Q43" s="17"/>
      <c r="R43" s="17"/>
      <c r="S43" s="17"/>
      <c r="T43" s="17"/>
      <c r="U43" s="17"/>
      <c r="V43" s="17"/>
      <c r="W43" s="17"/>
      <c r="X43" s="17"/>
      <c r="Y43" s="17"/>
      <c r="Z43" s="17"/>
    </row>
    <row r="66" spans="1:4" ht="12.75">
      <c r="A66" s="165"/>
      <c r="B66" s="163"/>
      <c r="C66" s="163"/>
      <c r="D66" s="163"/>
    </row>
    <row r="67" spans="1:4" ht="12.75">
      <c r="A67" s="165"/>
      <c r="B67" s="163"/>
      <c r="C67" s="163"/>
      <c r="D67" s="163"/>
    </row>
    <row r="68" spans="1:4" ht="12.75">
      <c r="A68" s="165"/>
      <c r="B68" s="163"/>
      <c r="C68" s="163"/>
      <c r="D68" s="163"/>
    </row>
    <row r="69" spans="1:4" ht="12.75">
      <c r="A69" s="165"/>
      <c r="B69" s="163"/>
      <c r="C69" s="163"/>
      <c r="D69" s="163"/>
    </row>
    <row r="70" spans="1:4" ht="12.75">
      <c r="A70" s="165"/>
      <c r="B70" s="163"/>
      <c r="C70" s="163"/>
      <c r="D70" s="163"/>
    </row>
    <row r="71" spans="1:4" ht="12.75">
      <c r="A71" s="165"/>
      <c r="B71" s="163"/>
      <c r="C71" s="163"/>
      <c r="D71" s="163"/>
    </row>
    <row r="72" spans="1:4" ht="12.75">
      <c r="A72" s="165"/>
      <c r="B72" s="163"/>
      <c r="C72" s="163"/>
      <c r="D72" s="163"/>
    </row>
    <row r="73" spans="1:4" ht="12.75">
      <c r="A73" s="165"/>
      <c r="B73" s="163"/>
      <c r="C73" s="163"/>
      <c r="D73" s="163"/>
    </row>
    <row r="74" spans="1:4" ht="12.75">
      <c r="A74" s="165"/>
      <c r="B74" s="163"/>
      <c r="C74" s="163"/>
      <c r="D74" s="163"/>
    </row>
    <row r="75" spans="1:4" ht="12.75">
      <c r="A75" s="165"/>
      <c r="B75" s="163"/>
      <c r="C75" s="163"/>
      <c r="D75" s="163"/>
    </row>
    <row r="76" spans="1:4" ht="12.75">
      <c r="A76" s="165"/>
      <c r="B76" s="163"/>
      <c r="C76" s="163"/>
      <c r="D76" s="163"/>
    </row>
    <row r="77" spans="1:4" ht="12.75">
      <c r="A77" s="165"/>
      <c r="B77" s="163"/>
      <c r="C77" s="163"/>
      <c r="D77" s="163"/>
    </row>
    <row r="78" spans="1:4" ht="12.75">
      <c r="A78" s="165"/>
      <c r="B78" s="163"/>
      <c r="C78" s="163"/>
      <c r="D78" s="163"/>
    </row>
    <row r="79" spans="1:4" ht="12.75">
      <c r="A79" s="165"/>
      <c r="B79" s="163"/>
      <c r="C79" s="163"/>
      <c r="D79" s="163"/>
    </row>
    <row r="80" spans="1:4" ht="12.75">
      <c r="A80" s="165"/>
      <c r="B80" s="163"/>
      <c r="C80" s="163"/>
      <c r="D80" s="163"/>
    </row>
    <row r="81" spans="1:4" ht="12.75">
      <c r="A81" s="165"/>
      <c r="B81" s="163"/>
      <c r="C81" s="163"/>
      <c r="D81" s="163"/>
    </row>
    <row r="82" spans="1:4" ht="12.75">
      <c r="A82" s="165"/>
      <c r="B82" s="163"/>
      <c r="C82" s="163"/>
      <c r="D82" s="163"/>
    </row>
    <row r="83" spans="1:4" ht="12.75">
      <c r="A83" s="165"/>
      <c r="B83" s="163"/>
      <c r="C83" s="163"/>
      <c r="D83" s="163"/>
    </row>
  </sheetData>
  <sheetProtection password="83AF" sheet="1" objects="1" scenarios="1"/>
  <mergeCells count="4">
    <mergeCell ref="A3:G3"/>
    <mergeCell ref="A9:G9"/>
    <mergeCell ref="A16:G16"/>
    <mergeCell ref="A33:G33"/>
  </mergeCells>
  <hyperlinks>
    <hyperlink ref="A43" r:id="rId1" display="Please send comments or suggestions to risingedgeservices@gmail.com"/>
  </hyperlinks>
  <printOptions/>
  <pageMargins left="0.7" right="0.7" top="0.75" bottom="0.75" header="0.5118055555555555" footer="0.511805555555555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AB20"/>
  <sheetViews>
    <sheetView zoomScalePageLayoutView="0" workbookViewId="0" topLeftCell="A1">
      <selection activeCell="A11" sqref="A11"/>
    </sheetView>
  </sheetViews>
  <sheetFormatPr defaultColWidth="14.8984375" defaultRowHeight="15"/>
  <cols>
    <col min="1" max="1" width="14.8984375" style="2" customWidth="1"/>
    <col min="2" max="2" width="45.8984375" style="2" customWidth="1"/>
    <col min="3" max="3" width="3.09765625" style="2" customWidth="1"/>
    <col min="4" max="4" width="6.796875" style="3" customWidth="1"/>
    <col min="5" max="9" width="6.796875" style="2" customWidth="1"/>
    <col min="10" max="10" width="6.796875" style="3" customWidth="1"/>
    <col min="11" max="16384" width="14.8984375" style="2" customWidth="1"/>
  </cols>
  <sheetData>
    <row r="1" spans="1:10" s="4" customFormat="1" ht="15.75">
      <c r="A1" s="4" t="s">
        <v>5</v>
      </c>
      <c r="D1" s="3"/>
      <c r="E1" s="2"/>
      <c r="F1" s="2"/>
      <c r="G1" s="2"/>
      <c r="H1" s="2"/>
      <c r="I1" s="2"/>
      <c r="J1" s="3"/>
    </row>
    <row r="2" s="5" customFormat="1" ht="15.75"/>
    <row r="3" spans="1:10" s="7" customFormat="1" ht="15.75">
      <c r="A3" s="6" t="s">
        <v>6</v>
      </c>
      <c r="D3" s="8" t="s">
        <v>7</v>
      </c>
      <c r="J3" s="9"/>
    </row>
    <row r="4" spans="1:2" ht="15.75">
      <c r="A4" s="10">
        <v>60</v>
      </c>
      <c r="B4" s="11" t="s">
        <v>8</v>
      </c>
    </row>
    <row r="5" spans="1:2" ht="15.75">
      <c r="A5" s="10">
        <v>2</v>
      </c>
      <c r="B5" s="11" t="s">
        <v>9</v>
      </c>
    </row>
    <row r="6" spans="1:2" ht="15.75">
      <c r="A6" s="10">
        <v>8</v>
      </c>
      <c r="B6" s="11" t="s">
        <v>10</v>
      </c>
    </row>
    <row r="7" spans="1:2" ht="15.75">
      <c r="A7" s="12">
        <f>(A5*A5)*0.1166*A4*A6</f>
        <v>223.87199999999999</v>
      </c>
      <c r="B7" s="13" t="s">
        <v>11</v>
      </c>
    </row>
    <row r="8" spans="1:2" ht="15.75">
      <c r="A8" s="14">
        <v>0.75</v>
      </c>
      <c r="B8" s="11" t="s">
        <v>12</v>
      </c>
    </row>
    <row r="9" spans="1:2" ht="15.75">
      <c r="A9" s="12">
        <f>A7*A8</f>
        <v>167.904</v>
      </c>
      <c r="B9" s="15" t="s">
        <v>13</v>
      </c>
    </row>
    <row r="11" spans="1:28" s="16" customFormat="1" ht="15.75">
      <c r="A11" s="16" t="s">
        <v>14</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row>
    <row r="12" spans="1:28" s="16" customFormat="1" ht="15.75">
      <c r="A12" s="16" t="s">
        <v>15</v>
      </c>
      <c r="B12"/>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row>
    <row r="20" ht="15.75">
      <c r="B20" s="18"/>
    </row>
  </sheetData>
  <sheetProtection password="83AF" sheet="1" objects="1" scenarios="1" selectLockedCells="1" selectUnlockedCells="1"/>
  <hyperlinks>
    <hyperlink ref="A12" r:id="rId1" display="Please send comments or suggestions to risingedgeservices@gmail.com"/>
  </hyperlinks>
  <printOptions/>
  <pageMargins left="0.7" right="0.7" top="0.75" bottom="0.75" header="0.5118055555555555" footer="0.511805555555555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B22" sqref="B22"/>
    </sheetView>
  </sheetViews>
  <sheetFormatPr defaultColWidth="8.796875" defaultRowHeight="15"/>
  <cols>
    <col min="1" max="1" width="13" style="16" customWidth="1"/>
    <col min="2" max="2" width="28.8984375" style="16" customWidth="1"/>
    <col min="3" max="28" width="8.796875" style="17" customWidth="1"/>
    <col min="29" max="16384" width="8.796875" style="16" customWidth="1"/>
  </cols>
  <sheetData>
    <row r="1" spans="1:2" ht="15.75">
      <c r="A1" s="19" t="s">
        <v>16</v>
      </c>
      <c r="B1" s="20"/>
    </row>
    <row r="2" spans="1:2" ht="15.75">
      <c r="A2" s="21">
        <v>30.1</v>
      </c>
      <c r="B2" s="22" t="s">
        <v>17</v>
      </c>
    </row>
    <row r="3" spans="1:2" ht="15.75">
      <c r="A3" s="23">
        <v>45</v>
      </c>
      <c r="B3" s="22" t="s">
        <v>18</v>
      </c>
    </row>
    <row r="4" spans="1:2" ht="15.75" customHeight="1">
      <c r="A4" s="23">
        <v>1200</v>
      </c>
      <c r="B4" s="22" t="s">
        <v>19</v>
      </c>
    </row>
    <row r="5" spans="1:2" ht="15.75">
      <c r="A5" s="21">
        <v>9.9</v>
      </c>
      <c r="B5" s="22" t="s">
        <v>10</v>
      </c>
    </row>
    <row r="6" spans="1:2" s="26" customFormat="1" ht="15.75">
      <c r="A6" s="24">
        <f>(A5*A2*A3)/A4</f>
        <v>11.174625</v>
      </c>
      <c r="B6" s="25" t="s">
        <v>20</v>
      </c>
    </row>
    <row r="7" spans="1:2" ht="15.75">
      <c r="A7" s="27">
        <f>A3/A6</f>
        <v>4.0269807711668175</v>
      </c>
      <c r="B7" s="28" t="s">
        <v>21</v>
      </c>
    </row>
    <row r="8" ht="15.75">
      <c r="A8" s="29"/>
    </row>
    <row r="9" spans="1:2" ht="15.75">
      <c r="A9" s="19" t="s">
        <v>22</v>
      </c>
      <c r="B9" s="30"/>
    </row>
    <row r="10" spans="1:2" ht="15.75">
      <c r="A10" s="21">
        <v>30.1</v>
      </c>
      <c r="B10" s="22" t="s">
        <v>17</v>
      </c>
    </row>
    <row r="11" spans="1:2" ht="15.75">
      <c r="A11" s="23">
        <v>11.2</v>
      </c>
      <c r="B11" s="22" t="s">
        <v>20</v>
      </c>
    </row>
    <row r="12" spans="1:2" ht="15.75">
      <c r="A12" s="23">
        <v>1200</v>
      </c>
      <c r="B12" s="22" t="s">
        <v>19</v>
      </c>
    </row>
    <row r="13" spans="1:2" ht="15.75">
      <c r="A13" s="21">
        <v>9.9</v>
      </c>
      <c r="B13" s="22" t="s">
        <v>10</v>
      </c>
    </row>
    <row r="14" spans="1:2" ht="15.75">
      <c r="A14" s="24">
        <f>(A12*A11)/(A13*A10)</f>
        <v>45.102184637068355</v>
      </c>
      <c r="B14" s="25" t="s">
        <v>18</v>
      </c>
    </row>
    <row r="15" spans="1:2" ht="15.75">
      <c r="A15" s="27">
        <f>A14/A11</f>
        <v>4.0269807711668175</v>
      </c>
      <c r="B15" s="28" t="s">
        <v>21</v>
      </c>
    </row>
    <row r="17" ht="15.75">
      <c r="A17" s="16" t="s">
        <v>14</v>
      </c>
    </row>
    <row r="18" spans="1:2" ht="15.75">
      <c r="A18" s="16" t="s">
        <v>15</v>
      </c>
      <c r="B18"/>
    </row>
  </sheetData>
  <sheetProtection password="83AF" sheet="1" objects="1" scenarios="1"/>
  <hyperlinks>
    <hyperlink ref="A18" r:id="rId1" display="Please send comments or suggestions to risingedgeservices@gmail.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B13"/>
  <sheetViews>
    <sheetView zoomScalePageLayoutView="0" workbookViewId="0" topLeftCell="A1">
      <selection activeCell="A1" sqref="A1"/>
    </sheetView>
  </sheetViews>
  <sheetFormatPr defaultColWidth="8.796875" defaultRowHeight="15"/>
  <cols>
    <col min="1" max="1" width="9.5" style="31" customWidth="1"/>
    <col min="2" max="2" width="21.296875" style="31" customWidth="1"/>
    <col min="3" max="16384" width="8.796875" style="31" customWidth="1"/>
  </cols>
  <sheetData>
    <row r="1" spans="1:5" s="35" customFormat="1" ht="15.75">
      <c r="A1" s="32" t="s">
        <v>23</v>
      </c>
      <c r="B1" s="33"/>
      <c r="C1" s="33"/>
      <c r="D1" s="34"/>
      <c r="E1" s="34"/>
    </row>
    <row r="2" spans="1:5" s="39" customFormat="1" ht="15.75">
      <c r="A2" s="21">
        <v>65.43</v>
      </c>
      <c r="B2" s="36" t="s">
        <v>24</v>
      </c>
      <c r="C2" s="37"/>
      <c r="D2" s="38"/>
      <c r="E2" s="38"/>
    </row>
    <row r="3" spans="1:5" s="39" customFormat="1" ht="15.75">
      <c r="A3" s="40">
        <v>47</v>
      </c>
      <c r="B3" s="41" t="s">
        <v>25</v>
      </c>
      <c r="C3" s="37"/>
      <c r="D3" s="38"/>
      <c r="E3" s="38"/>
    </row>
    <row r="4" spans="1:5" s="39" customFormat="1" ht="15.75">
      <c r="A4" s="40">
        <v>14.5</v>
      </c>
      <c r="B4" s="41" t="s">
        <v>26</v>
      </c>
      <c r="C4" s="37"/>
      <c r="D4" s="38"/>
      <c r="E4" s="38"/>
    </row>
    <row r="5" spans="1:5" s="39" customFormat="1" ht="15.75">
      <c r="A5" s="42">
        <f>(2*A2)+(1.57*(A3+A4))</f>
        <v>227.41500000000002</v>
      </c>
      <c r="B5" s="43" t="s">
        <v>27</v>
      </c>
      <c r="C5" s="37"/>
      <c r="D5" s="38"/>
      <c r="E5" s="38"/>
    </row>
    <row r="7" spans="1:2" ht="15.75">
      <c r="A7" s="44" t="s">
        <v>28</v>
      </c>
      <c r="B7" s="44"/>
    </row>
    <row r="8" spans="1:2" ht="15.75">
      <c r="A8" s="40">
        <v>14.5</v>
      </c>
      <c r="B8" s="41" t="s">
        <v>26</v>
      </c>
    </row>
    <row r="9" spans="1:2" ht="15.75">
      <c r="A9" s="45">
        <v>1170</v>
      </c>
      <c r="B9" s="46" t="s">
        <v>29</v>
      </c>
    </row>
    <row r="10" spans="1:2" ht="15.75">
      <c r="A10" s="47">
        <f>(3.1416*A8*A9)/12</f>
        <v>4441.437</v>
      </c>
      <c r="B10" s="48" t="s">
        <v>30</v>
      </c>
    </row>
    <row r="12" spans="1:28" s="16" customFormat="1" ht="15.75">
      <c r="A12" s="16" t="s">
        <v>14</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row>
    <row r="13" spans="1:28" s="16" customFormat="1" ht="15.75">
      <c r="A13" s="16" t="s">
        <v>15</v>
      </c>
      <c r="B13"/>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row>
  </sheetData>
  <sheetProtection password="83AF" sheet="1" objects="1" scenarios="1"/>
  <hyperlinks>
    <hyperlink ref="A13" r:id="rId1" display="Please send comments or suggestions to risingedgeservices@gmail.com"/>
  </hyperlink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sheetPr>
    <pageSetUpPr fitToPage="1"/>
  </sheetPr>
  <dimension ref="A1:AB48"/>
  <sheetViews>
    <sheetView zoomScalePageLayoutView="0" workbookViewId="0" topLeftCell="A1">
      <selection activeCell="E10" sqref="E10"/>
    </sheetView>
  </sheetViews>
  <sheetFormatPr defaultColWidth="8.796875" defaultRowHeight="15"/>
  <cols>
    <col min="1" max="1" width="12.09765625" style="49" customWidth="1"/>
    <col min="2" max="2" width="28.296875" style="49" customWidth="1"/>
    <col min="3" max="3" width="8.796875" style="49" customWidth="1"/>
    <col min="4" max="4" width="8.796875" style="50" customWidth="1"/>
    <col min="5" max="5" width="26.09765625" style="49" bestFit="1" customWidth="1"/>
    <col min="6" max="16384" width="8.796875" style="49" customWidth="1"/>
  </cols>
  <sheetData>
    <row r="1" spans="1:4" s="51" customFormat="1" ht="14.25">
      <c r="A1" s="51" t="s">
        <v>31</v>
      </c>
      <c r="D1" s="51" t="s">
        <v>168</v>
      </c>
    </row>
    <row r="2" spans="1:5" ht="15">
      <c r="A2" s="53" t="s">
        <v>32</v>
      </c>
      <c r="B2" s="54"/>
      <c r="D2" s="53" t="s">
        <v>32</v>
      </c>
      <c r="E2" s="54"/>
    </row>
    <row r="3" spans="1:5" ht="15">
      <c r="A3" s="55">
        <v>1200</v>
      </c>
      <c r="B3" s="56" t="s">
        <v>19</v>
      </c>
      <c r="D3" s="194">
        <v>30</v>
      </c>
      <c r="E3" s="191" t="s">
        <v>167</v>
      </c>
    </row>
    <row r="4" spans="1:5" ht="15">
      <c r="A4" s="55">
        <v>30.1</v>
      </c>
      <c r="B4" s="56" t="s">
        <v>17</v>
      </c>
      <c r="D4" s="194">
        <v>60</v>
      </c>
      <c r="E4" s="191" t="s">
        <v>165</v>
      </c>
    </row>
    <row r="5" spans="1:8" ht="15">
      <c r="A5" s="55">
        <v>12</v>
      </c>
      <c r="B5" s="56" t="s">
        <v>20</v>
      </c>
      <c r="D5" s="194">
        <v>1170</v>
      </c>
      <c r="E5" s="191" t="s">
        <v>164</v>
      </c>
      <c r="G5" s="49" t="s">
        <v>7</v>
      </c>
      <c r="H5" s="49" t="s">
        <v>7</v>
      </c>
    </row>
    <row r="6" spans="1:5" ht="15">
      <c r="A6" s="55">
        <v>47</v>
      </c>
      <c r="B6" s="56" t="s">
        <v>18</v>
      </c>
      <c r="D6" s="195">
        <f>(D5/D4)*D3</f>
        <v>585</v>
      </c>
      <c r="E6" s="190" t="s">
        <v>166</v>
      </c>
    </row>
    <row r="7" spans="1:5" s="51" customFormat="1" ht="15">
      <c r="A7" s="57">
        <f>(A3/A4)*(A5/A6)</f>
        <v>10.178836502438678</v>
      </c>
      <c r="B7" s="58" t="s">
        <v>10</v>
      </c>
      <c r="D7" s="192">
        <v>30.1</v>
      </c>
      <c r="E7" s="191" t="s">
        <v>17</v>
      </c>
    </row>
    <row r="8" spans="1:5" s="51" customFormat="1" ht="15">
      <c r="A8" s="59"/>
      <c r="B8" s="54"/>
      <c r="D8" s="192">
        <v>8</v>
      </c>
      <c r="E8" s="191" t="s">
        <v>20</v>
      </c>
    </row>
    <row r="9" spans="1:5" s="51" customFormat="1" ht="15">
      <c r="A9" s="59" t="s">
        <v>33</v>
      </c>
      <c r="B9" s="54"/>
      <c r="D9" s="192">
        <v>47</v>
      </c>
      <c r="E9" s="191" t="s">
        <v>18</v>
      </c>
    </row>
    <row r="10" spans="1:5" ht="15">
      <c r="A10" s="53" t="s">
        <v>34</v>
      </c>
      <c r="B10" s="54"/>
      <c r="D10" s="193">
        <f>(D6/D7)*(D8/D9)</f>
        <v>3.308121863292571</v>
      </c>
      <c r="E10" s="190" t="s">
        <v>10</v>
      </c>
    </row>
    <row r="11" spans="1:5" ht="15">
      <c r="A11" s="55">
        <v>1200</v>
      </c>
      <c r="B11" s="56" t="s">
        <v>19</v>
      </c>
      <c r="D11" s="52"/>
      <c r="E11" s="51"/>
    </row>
    <row r="12" spans="1:5" ht="15">
      <c r="A12" s="55">
        <v>16</v>
      </c>
      <c r="B12" s="56" t="s">
        <v>20</v>
      </c>
      <c r="D12" s="52"/>
      <c r="E12" s="51"/>
    </row>
    <row r="13" spans="1:2" ht="15">
      <c r="A13" s="55">
        <v>24</v>
      </c>
      <c r="B13" s="56" t="s">
        <v>18</v>
      </c>
    </row>
    <row r="14" spans="1:2" ht="15">
      <c r="A14" s="60">
        <f>A11/(A13/A12)</f>
        <v>800</v>
      </c>
      <c r="B14" s="56" t="s">
        <v>35</v>
      </c>
    </row>
    <row r="15" spans="1:2" ht="15">
      <c r="A15" s="61">
        <v>31.07</v>
      </c>
      <c r="B15" s="56" t="s">
        <v>17</v>
      </c>
    </row>
    <row r="16" spans="1:2" ht="15">
      <c r="A16" s="60">
        <f>A14/A15</f>
        <v>25.74831026713872</v>
      </c>
      <c r="B16" s="56" t="s">
        <v>36</v>
      </c>
    </row>
    <row r="17" spans="1:2" ht="15">
      <c r="A17" s="55">
        <v>6.19</v>
      </c>
      <c r="B17" s="56" t="s">
        <v>37</v>
      </c>
    </row>
    <row r="18" spans="1:2" ht="15">
      <c r="A18" s="62">
        <f>A11/((A13/A12)*A15*A17)</f>
        <v>4.159662401799469</v>
      </c>
      <c r="B18" s="63" t="s">
        <v>10</v>
      </c>
    </row>
    <row r="19" spans="1:2" ht="15">
      <c r="A19" s="52"/>
      <c r="B19" s="51"/>
    </row>
    <row r="20" spans="1:2" ht="15">
      <c r="A20" s="52" t="s">
        <v>38</v>
      </c>
      <c r="B20" s="51"/>
    </row>
    <row r="21" spans="1:2" ht="15">
      <c r="A21" s="64">
        <v>1</v>
      </c>
      <c r="B21" s="63" t="s">
        <v>39</v>
      </c>
    </row>
    <row r="22" spans="1:2" ht="15">
      <c r="A22" s="64">
        <v>11</v>
      </c>
      <c r="B22" s="63" t="s">
        <v>40</v>
      </c>
    </row>
    <row r="23" spans="1:5" s="51" customFormat="1" ht="15">
      <c r="A23" s="57">
        <f>60/(A22/A21)</f>
        <v>5.454545454545454</v>
      </c>
      <c r="B23" s="63" t="s">
        <v>10</v>
      </c>
      <c r="D23" s="50"/>
      <c r="E23" s="49"/>
    </row>
    <row r="24" spans="1:5" s="51" customFormat="1" ht="15">
      <c r="A24" s="59"/>
      <c r="B24" s="54"/>
      <c r="D24" s="50"/>
      <c r="E24" s="49"/>
    </row>
    <row r="25" spans="1:5" s="66" customFormat="1" ht="15">
      <c r="A25" s="59" t="s">
        <v>41</v>
      </c>
      <c r="B25" s="54"/>
      <c r="C25" s="54"/>
      <c r="D25" s="50"/>
      <c r="E25" s="49"/>
    </row>
    <row r="26" spans="1:5" s="69" customFormat="1" ht="15">
      <c r="A26" s="61">
        <v>144</v>
      </c>
      <c r="B26" s="56" t="s">
        <v>42</v>
      </c>
      <c r="C26" s="67"/>
      <c r="D26" s="52"/>
      <c r="E26" s="51"/>
    </row>
    <row r="27" spans="1:5" s="66" customFormat="1" ht="14.25">
      <c r="A27" s="57">
        <f>0.7*(SQRT(60000/A26))</f>
        <v>14.288690166235206</v>
      </c>
      <c r="B27" s="58" t="s">
        <v>43</v>
      </c>
      <c r="C27" s="54"/>
      <c r="D27" s="52"/>
      <c r="E27" s="51"/>
    </row>
    <row r="28" spans="1:5" s="66" customFormat="1" ht="14.25">
      <c r="A28" s="57">
        <f>0.63*(SQRT(60000/A26))</f>
        <v>12.859821149611687</v>
      </c>
      <c r="B28" s="58" t="s">
        <v>44</v>
      </c>
      <c r="C28" s="54"/>
      <c r="D28" s="52"/>
      <c r="E28" s="65"/>
    </row>
    <row r="29" spans="1:5" s="66" customFormat="1" ht="15">
      <c r="A29" s="57">
        <f>0.56*(SQRT(60000/A26))</f>
        <v>11.430952132988166</v>
      </c>
      <c r="B29" s="58" t="s">
        <v>45</v>
      </c>
      <c r="C29" s="54"/>
      <c r="D29" s="50"/>
      <c r="E29" s="68"/>
    </row>
    <row r="30" spans="4:5" ht="15">
      <c r="D30" s="52"/>
      <c r="E30" s="65"/>
    </row>
    <row r="31" spans="1:5" ht="15">
      <c r="A31" s="51" t="s">
        <v>46</v>
      </c>
      <c r="D31" s="52"/>
      <c r="E31" s="65"/>
    </row>
    <row r="32" spans="1:5" ht="15">
      <c r="A32" s="70">
        <v>1170</v>
      </c>
      <c r="B32" s="71" t="s">
        <v>47</v>
      </c>
      <c r="D32" s="52"/>
      <c r="E32" s="65"/>
    </row>
    <row r="33" spans="1:2" ht="15">
      <c r="A33" s="70">
        <v>12</v>
      </c>
      <c r="B33" s="71" t="s">
        <v>48</v>
      </c>
    </row>
    <row r="34" spans="1:2" ht="15">
      <c r="A34" s="70">
        <v>24</v>
      </c>
      <c r="B34" s="71" t="s">
        <v>49</v>
      </c>
    </row>
    <row r="35" spans="1:5" s="73" customFormat="1" ht="15">
      <c r="A35" s="72">
        <f>A34/A33</f>
        <v>2</v>
      </c>
      <c r="B35" s="72" t="s">
        <v>50</v>
      </c>
      <c r="D35" s="50"/>
      <c r="E35" s="49"/>
    </row>
    <row r="36" spans="1:5" s="73" customFormat="1" ht="15">
      <c r="A36" s="72">
        <f>A32/A35</f>
        <v>585</v>
      </c>
      <c r="B36" s="72" t="s">
        <v>51</v>
      </c>
      <c r="D36" s="50"/>
      <c r="E36" s="49"/>
    </row>
    <row r="37" spans="1:2" ht="15">
      <c r="A37" s="70">
        <v>8</v>
      </c>
      <c r="B37" s="71" t="s">
        <v>52</v>
      </c>
    </row>
    <row r="38" spans="1:5" ht="15">
      <c r="A38" s="70">
        <v>36</v>
      </c>
      <c r="B38" s="71" t="s">
        <v>53</v>
      </c>
      <c r="D38" s="74"/>
      <c r="E38" s="73"/>
    </row>
    <row r="39" spans="1:4" s="73" customFormat="1" ht="15">
      <c r="A39" s="72">
        <f>A38/A37</f>
        <v>4.5</v>
      </c>
      <c r="B39" s="72" t="s">
        <v>54</v>
      </c>
      <c r="D39" s="74"/>
    </row>
    <row r="40" spans="1:5" s="73" customFormat="1" ht="15">
      <c r="A40" s="72">
        <f>A36/A39</f>
        <v>130</v>
      </c>
      <c r="B40" s="72" t="s">
        <v>55</v>
      </c>
      <c r="D40" s="50"/>
      <c r="E40" s="49"/>
    </row>
    <row r="41" spans="1:2" ht="15">
      <c r="A41" s="70">
        <v>30.03</v>
      </c>
      <c r="B41" s="71" t="s">
        <v>56</v>
      </c>
    </row>
    <row r="42" spans="1:5" ht="15">
      <c r="A42" s="62">
        <f>A32/((A34/A33)*(A38/A37)*A41)</f>
        <v>4.329004329004329</v>
      </c>
      <c r="B42" s="63" t="s">
        <v>10</v>
      </c>
      <c r="D42" s="74"/>
      <c r="E42" s="73"/>
    </row>
    <row r="43" spans="1:5" ht="15">
      <c r="A43" s="75" t="s">
        <v>7</v>
      </c>
      <c r="D43" s="74"/>
      <c r="E43" s="73"/>
    </row>
    <row r="44" spans="1:28" s="16" customFormat="1" ht="15.75">
      <c r="A44" s="16" t="s">
        <v>14</v>
      </c>
      <c r="C44" s="17"/>
      <c r="D44" s="50"/>
      <c r="E44" s="49"/>
      <c r="F44" s="17"/>
      <c r="G44" s="17"/>
      <c r="H44" s="17"/>
      <c r="I44" s="17"/>
      <c r="J44" s="17"/>
      <c r="K44" s="17"/>
      <c r="L44" s="17"/>
      <c r="M44" s="17"/>
      <c r="N44" s="17"/>
      <c r="O44" s="17"/>
      <c r="P44" s="17"/>
      <c r="Q44" s="17"/>
      <c r="R44" s="17"/>
      <c r="S44" s="17"/>
      <c r="T44" s="17"/>
      <c r="U44" s="17"/>
      <c r="V44" s="17"/>
      <c r="W44" s="17"/>
      <c r="X44" s="17"/>
      <c r="Y44" s="17"/>
      <c r="Z44" s="17"/>
      <c r="AA44" s="17"/>
      <c r="AB44" s="17"/>
    </row>
    <row r="45" spans="1:28" s="16" customFormat="1" ht="15.75">
      <c r="A45" s="16" t="s">
        <v>15</v>
      </c>
      <c r="B45"/>
      <c r="C45" s="17"/>
      <c r="D45" s="50"/>
      <c r="E45" s="49"/>
      <c r="F45" s="17"/>
      <c r="G45" s="17"/>
      <c r="H45" s="17"/>
      <c r="I45" s="17"/>
      <c r="J45" s="17"/>
      <c r="K45" s="17"/>
      <c r="L45" s="17"/>
      <c r="M45" s="17"/>
      <c r="N45" s="17"/>
      <c r="O45" s="17"/>
      <c r="P45" s="17"/>
      <c r="Q45" s="17"/>
      <c r="R45" s="17"/>
      <c r="S45" s="17"/>
      <c r="T45" s="17"/>
      <c r="U45" s="17"/>
      <c r="V45" s="17"/>
      <c r="W45" s="17"/>
      <c r="X45" s="17"/>
      <c r="Y45" s="17"/>
      <c r="Z45" s="17"/>
      <c r="AA45" s="17"/>
      <c r="AB45" s="17"/>
    </row>
    <row r="47" spans="4:5" ht="15.75">
      <c r="D47" s="17"/>
      <c r="E47" s="17"/>
    </row>
    <row r="48" spans="4:5" ht="15.75">
      <c r="D48" s="17"/>
      <c r="E48" s="17"/>
    </row>
  </sheetData>
  <sheetProtection password="83AF" sheet="1"/>
  <hyperlinks>
    <hyperlink ref="A45" r:id="rId1" display="Please send comments or suggestions to risingedgeservices@gmail.com"/>
  </hyperlinks>
  <printOptions/>
  <pageMargins left="0.7" right="0.7" top="0.75" bottom="0.75" header="0.5118055555555555" footer="0.5118055555555555"/>
  <pageSetup fitToHeight="1" fitToWidth="1" horizontalDpi="300" verticalDpi="300" orientation="portrait" r:id="rId2"/>
</worksheet>
</file>

<file path=xl/worksheets/sheet6.xml><?xml version="1.0" encoding="utf-8"?>
<worksheet xmlns="http://schemas.openxmlformats.org/spreadsheetml/2006/main" xmlns:r="http://schemas.openxmlformats.org/officeDocument/2006/relationships">
  <dimension ref="A1:AB63"/>
  <sheetViews>
    <sheetView zoomScalePageLayoutView="0" workbookViewId="0" topLeftCell="A1">
      <selection activeCell="E19" sqref="E19"/>
    </sheetView>
  </sheetViews>
  <sheetFormatPr defaultColWidth="8.796875" defaultRowHeight="15"/>
  <cols>
    <col min="1" max="1" width="4.3984375" style="5" customWidth="1"/>
    <col min="2" max="23" width="4.796875" style="5" customWidth="1"/>
    <col min="24" max="24" width="2.69921875" style="5" customWidth="1"/>
    <col min="25" max="26" width="8.796875" style="5" customWidth="1"/>
    <col min="27" max="16384" width="8.796875" style="76" customWidth="1"/>
  </cols>
  <sheetData>
    <row r="1" spans="1:4" s="44" customFormat="1" ht="15.75">
      <c r="A1" s="44" t="s">
        <v>31</v>
      </c>
      <c r="D1" s="77"/>
    </row>
    <row r="2" spans="1:4" s="31" customFormat="1" ht="15.75">
      <c r="A2" s="78" t="s">
        <v>32</v>
      </c>
      <c r="B2" s="33"/>
      <c r="D2" s="79"/>
    </row>
    <row r="4" spans="1:26" s="81" customFormat="1" ht="15.75">
      <c r="A4" s="80">
        <v>1185</v>
      </c>
      <c r="B4" s="44" t="s">
        <v>57</v>
      </c>
      <c r="C4" s="31"/>
      <c r="D4" s="31"/>
      <c r="E4" s="80">
        <v>30.1</v>
      </c>
      <c r="F4" s="44" t="s">
        <v>58</v>
      </c>
      <c r="I4" s="31"/>
      <c r="J4" s="31"/>
      <c r="K4" s="31"/>
      <c r="L4" s="31"/>
      <c r="M4" s="31"/>
      <c r="N4" s="31"/>
      <c r="O4" s="31"/>
      <c r="P4" s="31"/>
      <c r="Q4" s="31"/>
      <c r="R4" s="31"/>
      <c r="S4" s="31"/>
      <c r="T4" s="31"/>
      <c r="U4" s="31"/>
      <c r="V4" s="31"/>
      <c r="W4" s="31"/>
      <c r="X4" s="31"/>
      <c r="Y4" s="31"/>
      <c r="Z4" s="31"/>
    </row>
    <row r="5" spans="1:26" s="84" customFormat="1" ht="15.75">
      <c r="A5" s="82"/>
      <c r="B5" s="82"/>
      <c r="C5" s="83"/>
      <c r="D5" s="82"/>
      <c r="E5" s="82"/>
      <c r="F5" s="82"/>
      <c r="G5" s="83"/>
      <c r="H5" s="82"/>
      <c r="I5" s="82"/>
      <c r="J5" s="82"/>
      <c r="K5" s="82"/>
      <c r="L5" s="82"/>
      <c r="M5" s="82"/>
      <c r="N5" s="82"/>
      <c r="O5" s="82"/>
      <c r="P5" s="82"/>
      <c r="Q5" s="82"/>
      <c r="R5" s="82"/>
      <c r="S5" s="82"/>
      <c r="T5" s="82"/>
      <c r="U5" s="82"/>
      <c r="V5" s="82"/>
      <c r="W5" s="82"/>
      <c r="X5" s="82"/>
      <c r="Y5" s="82"/>
      <c r="Z5" s="82"/>
    </row>
    <row r="6" spans="1:22" ht="15.75" customHeight="1">
      <c r="A6" s="85"/>
      <c r="B6" s="86"/>
      <c r="C6" s="200" t="s">
        <v>59</v>
      </c>
      <c r="D6" s="200"/>
      <c r="E6" s="200"/>
      <c r="F6" s="200"/>
      <c r="G6" s="200"/>
      <c r="H6" s="200"/>
      <c r="I6" s="200"/>
      <c r="J6" s="200"/>
      <c r="K6" s="200"/>
      <c r="L6" s="200"/>
      <c r="M6" s="200"/>
      <c r="N6" s="200"/>
      <c r="O6" s="200"/>
      <c r="P6" s="200"/>
      <c r="Q6" s="200"/>
      <c r="R6" s="200"/>
      <c r="S6" s="200"/>
      <c r="T6" s="200"/>
      <c r="U6" s="200"/>
      <c r="V6" s="200"/>
    </row>
    <row r="7" spans="1:22" ht="15.75">
      <c r="A7" s="86"/>
      <c r="B7" s="86"/>
      <c r="C7" s="87">
        <v>9</v>
      </c>
      <c r="D7" s="86">
        <v>6</v>
      </c>
      <c r="E7" s="86">
        <v>7</v>
      </c>
      <c r="F7" s="86">
        <v>8</v>
      </c>
      <c r="G7" s="86">
        <v>9</v>
      </c>
      <c r="H7" s="86">
        <v>10</v>
      </c>
      <c r="I7" s="86">
        <v>11</v>
      </c>
      <c r="J7" s="86">
        <v>12</v>
      </c>
      <c r="K7" s="86">
        <v>13</v>
      </c>
      <c r="L7" s="86">
        <v>14</v>
      </c>
      <c r="M7" s="86">
        <v>15</v>
      </c>
      <c r="N7" s="86">
        <v>16</v>
      </c>
      <c r="O7" s="86">
        <v>17</v>
      </c>
      <c r="P7" s="86">
        <v>18</v>
      </c>
      <c r="Q7" s="86">
        <v>19</v>
      </c>
      <c r="R7" s="86">
        <v>20</v>
      </c>
      <c r="S7" s="86">
        <v>21</v>
      </c>
      <c r="T7" s="86">
        <v>22</v>
      </c>
      <c r="U7" s="86">
        <v>23</v>
      </c>
      <c r="V7" s="86">
        <v>24</v>
      </c>
    </row>
    <row r="8" spans="1:24" ht="15.75">
      <c r="A8" s="201" t="s">
        <v>60</v>
      </c>
      <c r="B8" s="87">
        <v>50</v>
      </c>
      <c r="C8" s="88">
        <f aca="true" t="shared" si="0" ref="C8:L17">($A$4/$E$4)*(C$7/$B8)</f>
        <v>7.086378737541528</v>
      </c>
      <c r="D8" s="88">
        <f t="shared" si="0"/>
        <v>4.724252491694352</v>
      </c>
      <c r="E8" s="88">
        <f t="shared" si="0"/>
        <v>5.511627906976745</v>
      </c>
      <c r="F8" s="88">
        <f t="shared" si="0"/>
        <v>6.299003322259137</v>
      </c>
      <c r="G8" s="88">
        <f t="shared" si="0"/>
        <v>7.086378737541528</v>
      </c>
      <c r="H8" s="88">
        <f t="shared" si="0"/>
        <v>7.8737541528239205</v>
      </c>
      <c r="I8" s="88">
        <f t="shared" si="0"/>
        <v>8.661129568106313</v>
      </c>
      <c r="J8" s="88">
        <f t="shared" si="0"/>
        <v>9.448504983388704</v>
      </c>
      <c r="K8" s="88">
        <f t="shared" si="0"/>
        <v>10.235880398671098</v>
      </c>
      <c r="L8" s="88">
        <f t="shared" si="0"/>
        <v>11.02325581395349</v>
      </c>
      <c r="M8" s="88">
        <f aca="true" t="shared" si="1" ref="M8:V17">($A$4/$E$4)*(M$7/$B8)</f>
        <v>11.81063122923588</v>
      </c>
      <c r="N8" s="88">
        <f t="shared" si="1"/>
        <v>12.598006644518273</v>
      </c>
      <c r="O8" s="88">
        <f t="shared" si="1"/>
        <v>13.385382059800666</v>
      </c>
      <c r="P8" s="88">
        <f t="shared" si="1"/>
        <v>14.172757475083056</v>
      </c>
      <c r="Q8" s="88">
        <f t="shared" si="1"/>
        <v>14.960132890365449</v>
      </c>
      <c r="R8" s="88">
        <f t="shared" si="1"/>
        <v>15.747508305647841</v>
      </c>
      <c r="S8" s="88">
        <f t="shared" si="1"/>
        <v>16.53488372093023</v>
      </c>
      <c r="T8" s="88">
        <f t="shared" si="1"/>
        <v>17.322259136212626</v>
      </c>
      <c r="U8" s="88">
        <f t="shared" si="1"/>
        <v>18.109634551495017</v>
      </c>
      <c r="V8" s="88">
        <f t="shared" si="1"/>
        <v>18.897009966777407</v>
      </c>
      <c r="W8" s="86">
        <f aca="true" t="shared" si="2" ref="W8:W39">B8</f>
        <v>50</v>
      </c>
      <c r="X8" s="201" t="s">
        <v>60</v>
      </c>
    </row>
    <row r="9" spans="1:24" ht="15.75">
      <c r="A9" s="201"/>
      <c r="B9" s="86">
        <v>6</v>
      </c>
      <c r="C9" s="88">
        <f t="shared" si="0"/>
        <v>59.053156146179404</v>
      </c>
      <c r="D9" s="88">
        <f t="shared" si="0"/>
        <v>39.3687707641196</v>
      </c>
      <c r="E9" s="88">
        <f t="shared" si="0"/>
        <v>45.93023255813954</v>
      </c>
      <c r="F9" s="88">
        <f t="shared" si="0"/>
        <v>52.49169435215947</v>
      </c>
      <c r="G9" s="88">
        <f t="shared" si="0"/>
        <v>59.053156146179404</v>
      </c>
      <c r="H9" s="88">
        <f t="shared" si="0"/>
        <v>65.61461794019934</v>
      </c>
      <c r="I9" s="88">
        <f t="shared" si="0"/>
        <v>72.17607973421927</v>
      </c>
      <c r="J9" s="88">
        <f t="shared" si="0"/>
        <v>78.7375415282392</v>
      </c>
      <c r="K9" s="88">
        <f t="shared" si="0"/>
        <v>85.29900332225914</v>
      </c>
      <c r="L9" s="88">
        <f t="shared" si="0"/>
        <v>91.86046511627907</v>
      </c>
      <c r="M9" s="88">
        <f t="shared" si="1"/>
        <v>98.421926910299</v>
      </c>
      <c r="N9" s="88">
        <f t="shared" si="1"/>
        <v>104.98338870431894</v>
      </c>
      <c r="O9" s="88">
        <f t="shared" si="1"/>
        <v>111.54485049833887</v>
      </c>
      <c r="P9" s="88">
        <f t="shared" si="1"/>
        <v>118.10631229235881</v>
      </c>
      <c r="Q9" s="88">
        <f t="shared" si="1"/>
        <v>124.66777408637874</v>
      </c>
      <c r="R9" s="88">
        <f t="shared" si="1"/>
        <v>131.22923588039868</v>
      </c>
      <c r="S9" s="88">
        <f t="shared" si="1"/>
        <v>137.7906976744186</v>
      </c>
      <c r="T9" s="88">
        <f t="shared" si="1"/>
        <v>144.35215946843854</v>
      </c>
      <c r="U9" s="88">
        <f t="shared" si="1"/>
        <v>150.9136212624585</v>
      </c>
      <c r="V9" s="88">
        <f t="shared" si="1"/>
        <v>157.4750830564784</v>
      </c>
      <c r="W9" s="86">
        <f t="shared" si="2"/>
        <v>6</v>
      </c>
      <c r="X9" s="201"/>
    </row>
    <row r="10" spans="1:24" ht="15.75">
      <c r="A10" s="201"/>
      <c r="B10" s="86">
        <v>7</v>
      </c>
      <c r="C10" s="88">
        <f t="shared" si="0"/>
        <v>50.616990982439496</v>
      </c>
      <c r="D10" s="88">
        <f t="shared" si="0"/>
        <v>33.74466065495966</v>
      </c>
      <c r="E10" s="88">
        <f t="shared" si="0"/>
        <v>39.3687707641196</v>
      </c>
      <c r="F10" s="88">
        <f t="shared" si="0"/>
        <v>44.992880873279546</v>
      </c>
      <c r="G10" s="88">
        <f t="shared" si="0"/>
        <v>50.616990982439496</v>
      </c>
      <c r="H10" s="88">
        <f t="shared" si="0"/>
        <v>56.24110109159943</v>
      </c>
      <c r="I10" s="88">
        <f t="shared" si="0"/>
        <v>61.865211200759376</v>
      </c>
      <c r="J10" s="88">
        <f t="shared" si="0"/>
        <v>67.48932130991932</v>
      </c>
      <c r="K10" s="88">
        <f t="shared" si="0"/>
        <v>73.11343141907926</v>
      </c>
      <c r="L10" s="88">
        <f t="shared" si="0"/>
        <v>78.7375415282392</v>
      </c>
      <c r="M10" s="88">
        <f t="shared" si="1"/>
        <v>84.36165163739915</v>
      </c>
      <c r="N10" s="88">
        <f t="shared" si="1"/>
        <v>89.98576174655909</v>
      </c>
      <c r="O10" s="88">
        <f t="shared" si="1"/>
        <v>95.60987185571902</v>
      </c>
      <c r="P10" s="88">
        <f t="shared" si="1"/>
        <v>101.23398196487899</v>
      </c>
      <c r="Q10" s="88">
        <f t="shared" si="1"/>
        <v>106.85809207403892</v>
      </c>
      <c r="R10" s="88">
        <f t="shared" si="1"/>
        <v>112.48220218319886</v>
      </c>
      <c r="S10" s="88">
        <f t="shared" si="1"/>
        <v>118.10631229235881</v>
      </c>
      <c r="T10" s="88">
        <f t="shared" si="1"/>
        <v>123.73042240151875</v>
      </c>
      <c r="U10" s="88">
        <f t="shared" si="1"/>
        <v>129.3545325106787</v>
      </c>
      <c r="V10" s="88">
        <f t="shared" si="1"/>
        <v>134.97864261983864</v>
      </c>
      <c r="W10" s="86">
        <f t="shared" si="2"/>
        <v>7</v>
      </c>
      <c r="X10" s="201"/>
    </row>
    <row r="11" spans="1:26" ht="15.75">
      <c r="A11" s="201"/>
      <c r="B11" s="86">
        <v>8</v>
      </c>
      <c r="C11" s="88">
        <f t="shared" si="0"/>
        <v>44.28986710963456</v>
      </c>
      <c r="D11" s="88">
        <f t="shared" si="0"/>
        <v>29.526578073089702</v>
      </c>
      <c r="E11" s="88">
        <f t="shared" si="0"/>
        <v>34.44767441860465</v>
      </c>
      <c r="F11" s="88">
        <f t="shared" si="0"/>
        <v>39.3687707641196</v>
      </c>
      <c r="G11" s="88">
        <f t="shared" si="0"/>
        <v>44.28986710963456</v>
      </c>
      <c r="H11" s="88">
        <f t="shared" si="0"/>
        <v>49.2109634551495</v>
      </c>
      <c r="I11" s="88">
        <f t="shared" si="0"/>
        <v>54.13205980066445</v>
      </c>
      <c r="J11" s="88">
        <f t="shared" si="0"/>
        <v>59.053156146179404</v>
      </c>
      <c r="K11" s="88">
        <f t="shared" si="0"/>
        <v>63.97425249169436</v>
      </c>
      <c r="L11" s="88">
        <f t="shared" si="0"/>
        <v>68.8953488372093</v>
      </c>
      <c r="M11" s="88">
        <f t="shared" si="1"/>
        <v>73.81644518272425</v>
      </c>
      <c r="N11" s="88">
        <f t="shared" si="1"/>
        <v>78.7375415282392</v>
      </c>
      <c r="O11" s="88">
        <f t="shared" si="1"/>
        <v>83.65863787375416</v>
      </c>
      <c r="P11" s="88">
        <f t="shared" si="1"/>
        <v>88.57973421926911</v>
      </c>
      <c r="Q11" s="88">
        <f t="shared" si="1"/>
        <v>93.50083056478405</v>
      </c>
      <c r="R11" s="88">
        <f t="shared" si="1"/>
        <v>98.421926910299</v>
      </c>
      <c r="S11" s="88">
        <f t="shared" si="1"/>
        <v>103.34302325581396</v>
      </c>
      <c r="T11" s="88">
        <f t="shared" si="1"/>
        <v>108.2641196013289</v>
      </c>
      <c r="U11" s="88">
        <f t="shared" si="1"/>
        <v>113.18521594684385</v>
      </c>
      <c r="V11" s="88">
        <f t="shared" si="1"/>
        <v>118.10631229235881</v>
      </c>
      <c r="W11" s="86">
        <f t="shared" si="2"/>
        <v>8</v>
      </c>
      <c r="X11" s="201"/>
      <c r="Y11" s="89"/>
      <c r="Z11" s="89"/>
    </row>
    <row r="12" spans="1:24" ht="15.75">
      <c r="A12" s="201"/>
      <c r="B12" s="86">
        <v>9</v>
      </c>
      <c r="C12" s="88">
        <f t="shared" si="0"/>
        <v>39.3687707641196</v>
      </c>
      <c r="D12" s="88">
        <f t="shared" si="0"/>
        <v>26.245847176079735</v>
      </c>
      <c r="E12" s="88">
        <f t="shared" si="0"/>
        <v>30.62015503875969</v>
      </c>
      <c r="F12" s="88">
        <f t="shared" si="0"/>
        <v>34.99446290143965</v>
      </c>
      <c r="G12" s="88">
        <f t="shared" si="0"/>
        <v>39.3687707641196</v>
      </c>
      <c r="H12" s="88">
        <f t="shared" si="0"/>
        <v>43.74307862679956</v>
      </c>
      <c r="I12" s="88">
        <f t="shared" si="0"/>
        <v>48.11738648947952</v>
      </c>
      <c r="J12" s="88">
        <f t="shared" si="0"/>
        <v>52.49169435215947</v>
      </c>
      <c r="K12" s="88">
        <f t="shared" si="0"/>
        <v>56.866002214839426</v>
      </c>
      <c r="L12" s="88">
        <f t="shared" si="0"/>
        <v>61.24031007751938</v>
      </c>
      <c r="M12" s="88">
        <f t="shared" si="1"/>
        <v>65.61461794019934</v>
      </c>
      <c r="N12" s="88">
        <f t="shared" si="1"/>
        <v>69.9889258028793</v>
      </c>
      <c r="O12" s="88">
        <f t="shared" si="1"/>
        <v>74.36323366555925</v>
      </c>
      <c r="P12" s="88">
        <f t="shared" si="1"/>
        <v>78.7375415282392</v>
      </c>
      <c r="Q12" s="88">
        <f t="shared" si="1"/>
        <v>83.11184939091916</v>
      </c>
      <c r="R12" s="88">
        <f t="shared" si="1"/>
        <v>87.48615725359912</v>
      </c>
      <c r="S12" s="88">
        <f t="shared" si="1"/>
        <v>91.86046511627907</v>
      </c>
      <c r="T12" s="88">
        <f t="shared" si="1"/>
        <v>96.23477297895904</v>
      </c>
      <c r="U12" s="88">
        <f t="shared" si="1"/>
        <v>100.60908084163897</v>
      </c>
      <c r="V12" s="88">
        <f t="shared" si="1"/>
        <v>104.98338870431894</v>
      </c>
      <c r="W12" s="86">
        <f t="shared" si="2"/>
        <v>9</v>
      </c>
      <c r="X12" s="201"/>
    </row>
    <row r="13" spans="1:24" ht="15.75">
      <c r="A13" s="201"/>
      <c r="B13" s="86">
        <v>10</v>
      </c>
      <c r="C13" s="88">
        <f t="shared" si="0"/>
        <v>35.43189368770764</v>
      </c>
      <c r="D13" s="88">
        <f t="shared" si="0"/>
        <v>23.62126245847176</v>
      </c>
      <c r="E13" s="88">
        <f t="shared" si="0"/>
        <v>27.558139534883722</v>
      </c>
      <c r="F13" s="88">
        <f t="shared" si="0"/>
        <v>31.495016611295682</v>
      </c>
      <c r="G13" s="88">
        <f t="shared" si="0"/>
        <v>35.43189368770764</v>
      </c>
      <c r="H13" s="88">
        <f t="shared" si="0"/>
        <v>39.3687707641196</v>
      </c>
      <c r="I13" s="88">
        <f t="shared" si="0"/>
        <v>43.30564784053156</v>
      </c>
      <c r="J13" s="88">
        <f t="shared" si="0"/>
        <v>47.24252491694352</v>
      </c>
      <c r="K13" s="88">
        <f t="shared" si="0"/>
        <v>51.179401993355484</v>
      </c>
      <c r="L13" s="88">
        <f t="shared" si="0"/>
        <v>55.116279069767444</v>
      </c>
      <c r="M13" s="88">
        <f t="shared" si="1"/>
        <v>59.053156146179404</v>
      </c>
      <c r="N13" s="88">
        <f t="shared" si="1"/>
        <v>62.990033222591364</v>
      </c>
      <c r="O13" s="88">
        <f t="shared" si="1"/>
        <v>66.92691029900332</v>
      </c>
      <c r="P13" s="88">
        <f t="shared" si="1"/>
        <v>70.86378737541528</v>
      </c>
      <c r="Q13" s="88">
        <f t="shared" si="1"/>
        <v>74.80066445182725</v>
      </c>
      <c r="R13" s="88">
        <f t="shared" si="1"/>
        <v>78.7375415282392</v>
      </c>
      <c r="S13" s="88">
        <f t="shared" si="1"/>
        <v>82.67441860465117</v>
      </c>
      <c r="T13" s="88">
        <f t="shared" si="1"/>
        <v>86.61129568106313</v>
      </c>
      <c r="U13" s="88">
        <f t="shared" si="1"/>
        <v>90.54817275747509</v>
      </c>
      <c r="V13" s="88">
        <f t="shared" si="1"/>
        <v>94.48504983388705</v>
      </c>
      <c r="W13" s="86">
        <f t="shared" si="2"/>
        <v>10</v>
      </c>
      <c r="X13" s="201"/>
    </row>
    <row r="14" spans="1:24" ht="15.75">
      <c r="A14" s="201"/>
      <c r="B14" s="86">
        <v>11</v>
      </c>
      <c r="C14" s="88">
        <f t="shared" si="0"/>
        <v>32.210812443370585</v>
      </c>
      <c r="D14" s="88">
        <f t="shared" si="0"/>
        <v>21.473874962247056</v>
      </c>
      <c r="E14" s="88">
        <f t="shared" si="0"/>
        <v>25.052854122621564</v>
      </c>
      <c r="F14" s="88">
        <f t="shared" si="0"/>
        <v>28.631833282996077</v>
      </c>
      <c r="G14" s="88">
        <f t="shared" si="0"/>
        <v>32.210812443370585</v>
      </c>
      <c r="H14" s="88">
        <f t="shared" si="0"/>
        <v>35.789791603745094</v>
      </c>
      <c r="I14" s="88">
        <f t="shared" si="0"/>
        <v>39.3687707641196</v>
      </c>
      <c r="J14" s="88">
        <f t="shared" si="0"/>
        <v>42.94774992449411</v>
      </c>
      <c r="K14" s="88">
        <f t="shared" si="0"/>
        <v>46.52672908486863</v>
      </c>
      <c r="L14" s="88">
        <f t="shared" si="0"/>
        <v>50.10570824524313</v>
      </c>
      <c r="M14" s="88">
        <f t="shared" si="1"/>
        <v>53.68468740561764</v>
      </c>
      <c r="N14" s="88">
        <f t="shared" si="1"/>
        <v>57.26366656599215</v>
      </c>
      <c r="O14" s="88">
        <f t="shared" si="1"/>
        <v>60.842645726366655</v>
      </c>
      <c r="P14" s="88">
        <f t="shared" si="1"/>
        <v>64.42162488674117</v>
      </c>
      <c r="Q14" s="88">
        <f t="shared" si="1"/>
        <v>68.00060404711567</v>
      </c>
      <c r="R14" s="88">
        <f t="shared" si="1"/>
        <v>71.57958320749019</v>
      </c>
      <c r="S14" s="88">
        <f t="shared" si="1"/>
        <v>75.1585623678647</v>
      </c>
      <c r="T14" s="88">
        <f t="shared" si="1"/>
        <v>78.7375415282392</v>
      </c>
      <c r="U14" s="88">
        <f t="shared" si="1"/>
        <v>82.3165206886137</v>
      </c>
      <c r="V14" s="88">
        <f t="shared" si="1"/>
        <v>85.89549984898822</v>
      </c>
      <c r="W14" s="86">
        <f t="shared" si="2"/>
        <v>11</v>
      </c>
      <c r="X14" s="201"/>
    </row>
    <row r="15" spans="1:24" ht="15.75">
      <c r="A15" s="201"/>
      <c r="B15" s="86">
        <v>12</v>
      </c>
      <c r="C15" s="88">
        <f t="shared" si="0"/>
        <v>29.526578073089702</v>
      </c>
      <c r="D15" s="88">
        <f t="shared" si="0"/>
        <v>19.6843853820598</v>
      </c>
      <c r="E15" s="88">
        <f t="shared" si="0"/>
        <v>22.96511627906977</v>
      </c>
      <c r="F15" s="88">
        <f t="shared" si="0"/>
        <v>26.245847176079735</v>
      </c>
      <c r="G15" s="88">
        <f t="shared" si="0"/>
        <v>29.526578073089702</v>
      </c>
      <c r="H15" s="88">
        <f t="shared" si="0"/>
        <v>32.80730897009967</v>
      </c>
      <c r="I15" s="88">
        <f t="shared" si="0"/>
        <v>36.088039867109636</v>
      </c>
      <c r="J15" s="88">
        <f t="shared" si="0"/>
        <v>39.3687707641196</v>
      </c>
      <c r="K15" s="88">
        <f t="shared" si="0"/>
        <v>42.64950166112957</v>
      </c>
      <c r="L15" s="88">
        <f t="shared" si="0"/>
        <v>45.93023255813954</v>
      </c>
      <c r="M15" s="88">
        <f t="shared" si="1"/>
        <v>49.2109634551495</v>
      </c>
      <c r="N15" s="88">
        <f t="shared" si="1"/>
        <v>52.49169435215947</v>
      </c>
      <c r="O15" s="88">
        <f t="shared" si="1"/>
        <v>55.77242524916944</v>
      </c>
      <c r="P15" s="88">
        <f t="shared" si="1"/>
        <v>59.053156146179404</v>
      </c>
      <c r="Q15" s="88">
        <f t="shared" si="1"/>
        <v>62.33388704318937</v>
      </c>
      <c r="R15" s="88">
        <f t="shared" si="1"/>
        <v>65.61461794019934</v>
      </c>
      <c r="S15" s="88">
        <f t="shared" si="1"/>
        <v>68.8953488372093</v>
      </c>
      <c r="T15" s="88">
        <f t="shared" si="1"/>
        <v>72.17607973421927</v>
      </c>
      <c r="U15" s="88">
        <f t="shared" si="1"/>
        <v>75.45681063122925</v>
      </c>
      <c r="V15" s="88">
        <f t="shared" si="1"/>
        <v>78.7375415282392</v>
      </c>
      <c r="W15" s="86">
        <f t="shared" si="2"/>
        <v>12</v>
      </c>
      <c r="X15" s="201"/>
    </row>
    <row r="16" spans="1:24" ht="15.75">
      <c r="A16" s="201"/>
      <c r="B16" s="86">
        <v>13</v>
      </c>
      <c r="C16" s="88">
        <f t="shared" si="0"/>
        <v>27.255302836698185</v>
      </c>
      <c r="D16" s="88">
        <f t="shared" si="0"/>
        <v>18.170201891132127</v>
      </c>
      <c r="E16" s="88">
        <f t="shared" si="0"/>
        <v>21.198568872987476</v>
      </c>
      <c r="F16" s="88">
        <f t="shared" si="0"/>
        <v>24.226935854842832</v>
      </c>
      <c r="G16" s="88">
        <f t="shared" si="0"/>
        <v>27.255302836698185</v>
      </c>
      <c r="H16" s="88">
        <f t="shared" si="0"/>
        <v>30.28366981855354</v>
      </c>
      <c r="I16" s="88">
        <f t="shared" si="0"/>
        <v>33.3120368004089</v>
      </c>
      <c r="J16" s="88">
        <f t="shared" si="0"/>
        <v>36.340403782264254</v>
      </c>
      <c r="K16" s="88">
        <f t="shared" si="0"/>
        <v>39.3687707641196</v>
      </c>
      <c r="L16" s="88">
        <f t="shared" si="0"/>
        <v>42.39713774597495</v>
      </c>
      <c r="M16" s="88">
        <f t="shared" si="1"/>
        <v>45.42550472783031</v>
      </c>
      <c r="N16" s="88">
        <f t="shared" si="1"/>
        <v>48.453871709685664</v>
      </c>
      <c r="O16" s="88">
        <f t="shared" si="1"/>
        <v>51.48223869154102</v>
      </c>
      <c r="P16" s="88">
        <f t="shared" si="1"/>
        <v>54.51060567339637</v>
      </c>
      <c r="Q16" s="88">
        <f t="shared" si="1"/>
        <v>57.538972655251726</v>
      </c>
      <c r="R16" s="88">
        <f t="shared" si="1"/>
        <v>60.56733963710708</v>
      </c>
      <c r="S16" s="88">
        <f t="shared" si="1"/>
        <v>63.59570661896244</v>
      </c>
      <c r="T16" s="88">
        <f t="shared" si="1"/>
        <v>66.6240736008178</v>
      </c>
      <c r="U16" s="88">
        <f t="shared" si="1"/>
        <v>69.65244058267314</v>
      </c>
      <c r="V16" s="88">
        <f t="shared" si="1"/>
        <v>72.68080756452851</v>
      </c>
      <c r="W16" s="86">
        <f t="shared" si="2"/>
        <v>13</v>
      </c>
      <c r="X16" s="201"/>
    </row>
    <row r="17" spans="1:24" ht="15.75">
      <c r="A17" s="201"/>
      <c r="B17" s="86">
        <v>14</v>
      </c>
      <c r="C17" s="88">
        <f t="shared" si="0"/>
        <v>25.308495491219748</v>
      </c>
      <c r="D17" s="88">
        <f t="shared" si="0"/>
        <v>16.87233032747983</v>
      </c>
      <c r="E17" s="88">
        <f t="shared" si="0"/>
        <v>19.6843853820598</v>
      </c>
      <c r="F17" s="88">
        <f t="shared" si="0"/>
        <v>22.496440436639773</v>
      </c>
      <c r="G17" s="88">
        <f t="shared" si="0"/>
        <v>25.308495491219748</v>
      </c>
      <c r="H17" s="88">
        <f t="shared" si="0"/>
        <v>28.120550545799716</v>
      </c>
      <c r="I17" s="88">
        <f t="shared" si="0"/>
        <v>30.932605600379688</v>
      </c>
      <c r="J17" s="88">
        <f t="shared" si="0"/>
        <v>33.74466065495966</v>
      </c>
      <c r="K17" s="88">
        <f t="shared" si="0"/>
        <v>36.55671570953963</v>
      </c>
      <c r="L17" s="88">
        <f t="shared" si="0"/>
        <v>39.3687707641196</v>
      </c>
      <c r="M17" s="88">
        <f t="shared" si="1"/>
        <v>42.180825818699574</v>
      </c>
      <c r="N17" s="88">
        <f t="shared" si="1"/>
        <v>44.992880873279546</v>
      </c>
      <c r="O17" s="88">
        <f t="shared" si="1"/>
        <v>47.80493592785951</v>
      </c>
      <c r="P17" s="88">
        <f t="shared" si="1"/>
        <v>50.616990982439496</v>
      </c>
      <c r="Q17" s="88">
        <f t="shared" si="1"/>
        <v>53.42904603701946</v>
      </c>
      <c r="R17" s="88">
        <f t="shared" si="1"/>
        <v>56.24110109159943</v>
      </c>
      <c r="S17" s="88">
        <f t="shared" si="1"/>
        <v>59.053156146179404</v>
      </c>
      <c r="T17" s="88">
        <f t="shared" si="1"/>
        <v>61.865211200759376</v>
      </c>
      <c r="U17" s="88">
        <f t="shared" si="1"/>
        <v>64.67726625533935</v>
      </c>
      <c r="V17" s="88">
        <f t="shared" si="1"/>
        <v>67.48932130991932</v>
      </c>
      <c r="W17" s="86">
        <f t="shared" si="2"/>
        <v>14</v>
      </c>
      <c r="X17" s="201"/>
    </row>
    <row r="18" spans="1:24" ht="15.75">
      <c r="A18" s="201"/>
      <c r="B18" s="86">
        <v>15</v>
      </c>
      <c r="C18" s="88">
        <f aca="true" t="shared" si="3" ref="C18:L27">($A$4/$E$4)*(C$7/$B18)</f>
        <v>23.62126245847176</v>
      </c>
      <c r="D18" s="88">
        <f t="shared" si="3"/>
        <v>15.747508305647841</v>
      </c>
      <c r="E18" s="88">
        <f t="shared" si="3"/>
        <v>18.372093023255815</v>
      </c>
      <c r="F18" s="88">
        <f t="shared" si="3"/>
        <v>20.996677740863788</v>
      </c>
      <c r="G18" s="88">
        <f t="shared" si="3"/>
        <v>23.62126245847176</v>
      </c>
      <c r="H18" s="88">
        <f t="shared" si="3"/>
        <v>26.245847176079735</v>
      </c>
      <c r="I18" s="88">
        <f t="shared" si="3"/>
        <v>28.870431893687705</v>
      </c>
      <c r="J18" s="88">
        <f t="shared" si="3"/>
        <v>31.495016611295682</v>
      </c>
      <c r="K18" s="88">
        <f t="shared" si="3"/>
        <v>34.119601328903656</v>
      </c>
      <c r="L18" s="88">
        <f t="shared" si="3"/>
        <v>36.74418604651163</v>
      </c>
      <c r="M18" s="88">
        <f aca="true" t="shared" si="4" ref="M18:V27">($A$4/$E$4)*(M$7/$B18)</f>
        <v>39.3687707641196</v>
      </c>
      <c r="N18" s="88">
        <f t="shared" si="4"/>
        <v>41.993355481727576</v>
      </c>
      <c r="O18" s="88">
        <f t="shared" si="4"/>
        <v>44.61794019933555</v>
      </c>
      <c r="P18" s="88">
        <f t="shared" si="4"/>
        <v>47.24252491694352</v>
      </c>
      <c r="Q18" s="88">
        <f t="shared" si="4"/>
        <v>49.8671096345515</v>
      </c>
      <c r="R18" s="88">
        <f t="shared" si="4"/>
        <v>52.49169435215947</v>
      </c>
      <c r="S18" s="88">
        <f t="shared" si="4"/>
        <v>55.116279069767444</v>
      </c>
      <c r="T18" s="88">
        <f t="shared" si="4"/>
        <v>57.74086378737541</v>
      </c>
      <c r="U18" s="88">
        <f t="shared" si="4"/>
        <v>60.3654485049834</v>
      </c>
      <c r="V18" s="88">
        <f t="shared" si="4"/>
        <v>62.990033222591364</v>
      </c>
      <c r="W18" s="86">
        <f t="shared" si="2"/>
        <v>15</v>
      </c>
      <c r="X18" s="201"/>
    </row>
    <row r="19" spans="1:24" ht="15.75">
      <c r="A19" s="201"/>
      <c r="B19" s="86">
        <v>16</v>
      </c>
      <c r="C19" s="88">
        <f t="shared" si="3"/>
        <v>22.14493355481728</v>
      </c>
      <c r="D19" s="88">
        <f t="shared" si="3"/>
        <v>14.763289036544851</v>
      </c>
      <c r="E19" s="88">
        <f t="shared" si="3"/>
        <v>17.223837209302324</v>
      </c>
      <c r="F19" s="88">
        <f t="shared" si="3"/>
        <v>19.6843853820598</v>
      </c>
      <c r="G19" s="88">
        <f t="shared" si="3"/>
        <v>22.14493355481728</v>
      </c>
      <c r="H19" s="88">
        <f t="shared" si="3"/>
        <v>24.60548172757475</v>
      </c>
      <c r="I19" s="88">
        <f t="shared" si="3"/>
        <v>27.066029900332225</v>
      </c>
      <c r="J19" s="88">
        <f t="shared" si="3"/>
        <v>29.526578073089702</v>
      </c>
      <c r="K19" s="88">
        <f t="shared" si="3"/>
        <v>31.98712624584718</v>
      </c>
      <c r="L19" s="88">
        <f t="shared" si="3"/>
        <v>34.44767441860465</v>
      </c>
      <c r="M19" s="88">
        <f t="shared" si="4"/>
        <v>36.908222591362126</v>
      </c>
      <c r="N19" s="88">
        <f t="shared" si="4"/>
        <v>39.3687707641196</v>
      </c>
      <c r="O19" s="88">
        <f t="shared" si="4"/>
        <v>41.82931893687708</v>
      </c>
      <c r="P19" s="88">
        <f t="shared" si="4"/>
        <v>44.28986710963456</v>
      </c>
      <c r="Q19" s="88">
        <f t="shared" si="4"/>
        <v>46.75041528239203</v>
      </c>
      <c r="R19" s="88">
        <f t="shared" si="4"/>
        <v>49.2109634551495</v>
      </c>
      <c r="S19" s="88">
        <f t="shared" si="4"/>
        <v>51.67151162790698</v>
      </c>
      <c r="T19" s="88">
        <f t="shared" si="4"/>
        <v>54.13205980066445</v>
      </c>
      <c r="U19" s="88">
        <f t="shared" si="4"/>
        <v>56.59260797342193</v>
      </c>
      <c r="V19" s="88">
        <f t="shared" si="4"/>
        <v>59.053156146179404</v>
      </c>
      <c r="W19" s="86">
        <f t="shared" si="2"/>
        <v>16</v>
      </c>
      <c r="X19" s="201"/>
    </row>
    <row r="20" spans="1:24" ht="15.75">
      <c r="A20" s="201"/>
      <c r="B20" s="86">
        <v>17</v>
      </c>
      <c r="C20" s="88">
        <f t="shared" si="3"/>
        <v>20.84229040453391</v>
      </c>
      <c r="D20" s="88">
        <f t="shared" si="3"/>
        <v>13.894860269689273</v>
      </c>
      <c r="E20" s="88">
        <f t="shared" si="3"/>
        <v>16.210670314637483</v>
      </c>
      <c r="F20" s="88">
        <f t="shared" si="3"/>
        <v>18.526480359585694</v>
      </c>
      <c r="G20" s="88">
        <f t="shared" si="3"/>
        <v>20.84229040453391</v>
      </c>
      <c r="H20" s="88">
        <f t="shared" si="3"/>
        <v>23.15810044948212</v>
      </c>
      <c r="I20" s="88">
        <f t="shared" si="3"/>
        <v>25.47391049443033</v>
      </c>
      <c r="J20" s="88">
        <f t="shared" si="3"/>
        <v>27.789720539378546</v>
      </c>
      <c r="K20" s="88">
        <f t="shared" si="3"/>
        <v>30.105530584326754</v>
      </c>
      <c r="L20" s="88">
        <f t="shared" si="3"/>
        <v>32.421340629274965</v>
      </c>
      <c r="M20" s="88">
        <f t="shared" si="4"/>
        <v>34.73715067422318</v>
      </c>
      <c r="N20" s="88">
        <f t="shared" si="4"/>
        <v>37.05296071917139</v>
      </c>
      <c r="O20" s="88">
        <f t="shared" si="4"/>
        <v>39.3687707641196</v>
      </c>
      <c r="P20" s="88">
        <f t="shared" si="4"/>
        <v>41.68458080906782</v>
      </c>
      <c r="Q20" s="88">
        <f t="shared" si="4"/>
        <v>44.000390854016025</v>
      </c>
      <c r="R20" s="88">
        <f t="shared" si="4"/>
        <v>46.31620089896424</v>
      </c>
      <c r="S20" s="88">
        <f t="shared" si="4"/>
        <v>48.632010943912455</v>
      </c>
      <c r="T20" s="88">
        <f t="shared" si="4"/>
        <v>50.94782098886066</v>
      </c>
      <c r="U20" s="88">
        <f t="shared" si="4"/>
        <v>53.26363103380888</v>
      </c>
      <c r="V20" s="88">
        <f t="shared" si="4"/>
        <v>55.57944107875709</v>
      </c>
      <c r="W20" s="86">
        <f t="shared" si="2"/>
        <v>17</v>
      </c>
      <c r="X20" s="201"/>
    </row>
    <row r="21" spans="1:24" ht="15.75">
      <c r="A21" s="201"/>
      <c r="B21" s="86">
        <v>18</v>
      </c>
      <c r="C21" s="88">
        <f t="shared" si="3"/>
        <v>19.6843853820598</v>
      </c>
      <c r="D21" s="88">
        <f t="shared" si="3"/>
        <v>13.122923588039868</v>
      </c>
      <c r="E21" s="88">
        <f t="shared" si="3"/>
        <v>15.310077519379846</v>
      </c>
      <c r="F21" s="88">
        <f t="shared" si="3"/>
        <v>17.497231450719823</v>
      </c>
      <c r="G21" s="88">
        <f t="shared" si="3"/>
        <v>19.6843853820598</v>
      </c>
      <c r="H21" s="88">
        <f t="shared" si="3"/>
        <v>21.87153931339978</v>
      </c>
      <c r="I21" s="88">
        <f t="shared" si="3"/>
        <v>24.05869324473976</v>
      </c>
      <c r="J21" s="88">
        <f t="shared" si="3"/>
        <v>26.245847176079735</v>
      </c>
      <c r="K21" s="88">
        <f t="shared" si="3"/>
        <v>28.433001107419713</v>
      </c>
      <c r="L21" s="88">
        <f t="shared" si="3"/>
        <v>30.62015503875969</v>
      </c>
      <c r="M21" s="88">
        <f t="shared" si="4"/>
        <v>32.80730897009967</v>
      </c>
      <c r="N21" s="88">
        <f t="shared" si="4"/>
        <v>34.99446290143965</v>
      </c>
      <c r="O21" s="88">
        <f t="shared" si="4"/>
        <v>37.181616832779625</v>
      </c>
      <c r="P21" s="88">
        <f t="shared" si="4"/>
        <v>39.3687707641196</v>
      </c>
      <c r="Q21" s="88">
        <f t="shared" si="4"/>
        <v>41.55592469545958</v>
      </c>
      <c r="R21" s="88">
        <f t="shared" si="4"/>
        <v>43.74307862679956</v>
      </c>
      <c r="S21" s="88">
        <f t="shared" si="4"/>
        <v>45.93023255813954</v>
      </c>
      <c r="T21" s="88">
        <f t="shared" si="4"/>
        <v>48.11738648947952</v>
      </c>
      <c r="U21" s="88">
        <f t="shared" si="4"/>
        <v>50.304540420819485</v>
      </c>
      <c r="V21" s="88">
        <f t="shared" si="4"/>
        <v>52.49169435215947</v>
      </c>
      <c r="W21" s="86">
        <f t="shared" si="2"/>
        <v>18</v>
      </c>
      <c r="X21" s="201"/>
    </row>
    <row r="22" spans="1:24" ht="15.75">
      <c r="A22" s="201"/>
      <c r="B22" s="86">
        <v>19</v>
      </c>
      <c r="C22" s="88">
        <f t="shared" si="3"/>
        <v>18.648365098793494</v>
      </c>
      <c r="D22" s="88">
        <f t="shared" si="3"/>
        <v>12.432243399195663</v>
      </c>
      <c r="E22" s="88">
        <f t="shared" si="3"/>
        <v>14.504283965728273</v>
      </c>
      <c r="F22" s="88">
        <f t="shared" si="3"/>
        <v>16.576324532260884</v>
      </c>
      <c r="G22" s="88">
        <f t="shared" si="3"/>
        <v>18.648365098793494</v>
      </c>
      <c r="H22" s="88">
        <f t="shared" si="3"/>
        <v>20.720405665326105</v>
      </c>
      <c r="I22" s="88">
        <f t="shared" si="3"/>
        <v>22.79244623185872</v>
      </c>
      <c r="J22" s="88">
        <f t="shared" si="3"/>
        <v>24.864486798391326</v>
      </c>
      <c r="K22" s="88">
        <f t="shared" si="3"/>
        <v>26.93652736492394</v>
      </c>
      <c r="L22" s="88">
        <f t="shared" si="3"/>
        <v>29.008567931456547</v>
      </c>
      <c r="M22" s="88">
        <f t="shared" si="4"/>
        <v>31.08060849798916</v>
      </c>
      <c r="N22" s="88">
        <f t="shared" si="4"/>
        <v>33.15264906452177</v>
      </c>
      <c r="O22" s="88">
        <f t="shared" si="4"/>
        <v>35.22468963105438</v>
      </c>
      <c r="P22" s="88">
        <f t="shared" si="4"/>
        <v>37.29673019758699</v>
      </c>
      <c r="Q22" s="88">
        <f t="shared" si="4"/>
        <v>39.3687707641196</v>
      </c>
      <c r="R22" s="88">
        <f t="shared" si="4"/>
        <v>41.44081133065221</v>
      </c>
      <c r="S22" s="88">
        <f t="shared" si="4"/>
        <v>43.51285189718483</v>
      </c>
      <c r="T22" s="88">
        <f t="shared" si="4"/>
        <v>45.58489246371744</v>
      </c>
      <c r="U22" s="88">
        <f t="shared" si="4"/>
        <v>47.656933030250045</v>
      </c>
      <c r="V22" s="88">
        <f t="shared" si="4"/>
        <v>49.72897359678265</v>
      </c>
      <c r="W22" s="86">
        <f t="shared" si="2"/>
        <v>19</v>
      </c>
      <c r="X22" s="201"/>
    </row>
    <row r="23" spans="1:24" ht="15.75">
      <c r="A23" s="201"/>
      <c r="B23" s="86">
        <v>20</v>
      </c>
      <c r="C23" s="88">
        <f t="shared" si="3"/>
        <v>17.71594684385382</v>
      </c>
      <c r="D23" s="88">
        <f t="shared" si="3"/>
        <v>11.81063122923588</v>
      </c>
      <c r="E23" s="88">
        <f t="shared" si="3"/>
        <v>13.779069767441861</v>
      </c>
      <c r="F23" s="88">
        <f t="shared" si="3"/>
        <v>15.747508305647841</v>
      </c>
      <c r="G23" s="88">
        <f t="shared" si="3"/>
        <v>17.71594684385382</v>
      </c>
      <c r="H23" s="88">
        <f t="shared" si="3"/>
        <v>19.6843853820598</v>
      </c>
      <c r="I23" s="88">
        <f t="shared" si="3"/>
        <v>21.65282392026578</v>
      </c>
      <c r="J23" s="88">
        <f t="shared" si="3"/>
        <v>23.62126245847176</v>
      </c>
      <c r="K23" s="88">
        <f t="shared" si="3"/>
        <v>25.589700996677742</v>
      </c>
      <c r="L23" s="88">
        <f t="shared" si="3"/>
        <v>27.558139534883722</v>
      </c>
      <c r="M23" s="88">
        <f t="shared" si="4"/>
        <v>29.526578073089702</v>
      </c>
      <c r="N23" s="88">
        <f t="shared" si="4"/>
        <v>31.495016611295682</v>
      </c>
      <c r="O23" s="88">
        <f t="shared" si="4"/>
        <v>33.46345514950166</v>
      </c>
      <c r="P23" s="88">
        <f t="shared" si="4"/>
        <v>35.43189368770764</v>
      </c>
      <c r="Q23" s="88">
        <f t="shared" si="4"/>
        <v>37.40033222591362</v>
      </c>
      <c r="R23" s="88">
        <f t="shared" si="4"/>
        <v>39.3687707641196</v>
      </c>
      <c r="S23" s="88">
        <f t="shared" si="4"/>
        <v>41.33720930232558</v>
      </c>
      <c r="T23" s="88">
        <f t="shared" si="4"/>
        <v>43.30564784053156</v>
      </c>
      <c r="U23" s="88">
        <f t="shared" si="4"/>
        <v>45.27408637873754</v>
      </c>
      <c r="V23" s="88">
        <f t="shared" si="4"/>
        <v>47.24252491694352</v>
      </c>
      <c r="W23" s="86">
        <f t="shared" si="2"/>
        <v>20</v>
      </c>
      <c r="X23" s="201"/>
    </row>
    <row r="24" spans="1:24" ht="15.75">
      <c r="A24" s="201"/>
      <c r="B24" s="86">
        <v>21</v>
      </c>
      <c r="C24" s="88">
        <f t="shared" si="3"/>
        <v>16.87233032747983</v>
      </c>
      <c r="D24" s="88">
        <f t="shared" si="3"/>
        <v>11.248220218319886</v>
      </c>
      <c r="E24" s="88">
        <f t="shared" si="3"/>
        <v>13.122923588039868</v>
      </c>
      <c r="F24" s="88">
        <f t="shared" si="3"/>
        <v>14.997626957759849</v>
      </c>
      <c r="G24" s="88">
        <f t="shared" si="3"/>
        <v>16.87233032747983</v>
      </c>
      <c r="H24" s="88">
        <f t="shared" si="3"/>
        <v>18.74703369719981</v>
      </c>
      <c r="I24" s="88">
        <f t="shared" si="3"/>
        <v>20.621737066919792</v>
      </c>
      <c r="J24" s="88">
        <f t="shared" si="3"/>
        <v>22.496440436639773</v>
      </c>
      <c r="K24" s="88">
        <f t="shared" si="3"/>
        <v>24.371143806359754</v>
      </c>
      <c r="L24" s="88">
        <f t="shared" si="3"/>
        <v>26.245847176079735</v>
      </c>
      <c r="M24" s="88">
        <f t="shared" si="4"/>
        <v>28.120550545799716</v>
      </c>
      <c r="N24" s="88">
        <f t="shared" si="4"/>
        <v>29.995253915519697</v>
      </c>
      <c r="O24" s="88">
        <f t="shared" si="4"/>
        <v>31.86995728523968</v>
      </c>
      <c r="P24" s="88">
        <f t="shared" si="4"/>
        <v>33.74466065495966</v>
      </c>
      <c r="Q24" s="88">
        <f t="shared" si="4"/>
        <v>35.61936402467964</v>
      </c>
      <c r="R24" s="88">
        <f t="shared" si="4"/>
        <v>37.49406739439962</v>
      </c>
      <c r="S24" s="88">
        <f t="shared" si="4"/>
        <v>39.3687707641196</v>
      </c>
      <c r="T24" s="88">
        <f t="shared" si="4"/>
        <v>41.243474133839584</v>
      </c>
      <c r="U24" s="88">
        <f t="shared" si="4"/>
        <v>43.11817750355957</v>
      </c>
      <c r="V24" s="88">
        <f t="shared" si="4"/>
        <v>44.992880873279546</v>
      </c>
      <c r="W24" s="86">
        <f t="shared" si="2"/>
        <v>21</v>
      </c>
      <c r="X24" s="201"/>
    </row>
    <row r="25" spans="1:24" ht="15.75">
      <c r="A25" s="201"/>
      <c r="B25" s="86">
        <v>22</v>
      </c>
      <c r="C25" s="88">
        <f t="shared" si="3"/>
        <v>16.105406221685293</v>
      </c>
      <c r="D25" s="88">
        <f t="shared" si="3"/>
        <v>10.736937481123528</v>
      </c>
      <c r="E25" s="88">
        <f t="shared" si="3"/>
        <v>12.526427061310782</v>
      </c>
      <c r="F25" s="88">
        <f t="shared" si="3"/>
        <v>14.315916641498038</v>
      </c>
      <c r="G25" s="88">
        <f t="shared" si="3"/>
        <v>16.105406221685293</v>
      </c>
      <c r="H25" s="88">
        <f t="shared" si="3"/>
        <v>17.894895801872547</v>
      </c>
      <c r="I25" s="88">
        <f t="shared" si="3"/>
        <v>19.6843853820598</v>
      </c>
      <c r="J25" s="88">
        <f t="shared" si="3"/>
        <v>21.473874962247056</v>
      </c>
      <c r="K25" s="88">
        <f t="shared" si="3"/>
        <v>23.263364542434314</v>
      </c>
      <c r="L25" s="88">
        <f t="shared" si="3"/>
        <v>25.052854122621564</v>
      </c>
      <c r="M25" s="88">
        <f t="shared" si="4"/>
        <v>26.84234370280882</v>
      </c>
      <c r="N25" s="88">
        <f t="shared" si="4"/>
        <v>28.631833282996077</v>
      </c>
      <c r="O25" s="88">
        <f t="shared" si="4"/>
        <v>30.421322863183327</v>
      </c>
      <c r="P25" s="88">
        <f t="shared" si="4"/>
        <v>32.210812443370585</v>
      </c>
      <c r="Q25" s="88">
        <f t="shared" si="4"/>
        <v>34.000302023557836</v>
      </c>
      <c r="R25" s="88">
        <f t="shared" si="4"/>
        <v>35.789791603745094</v>
      </c>
      <c r="S25" s="88">
        <f t="shared" si="4"/>
        <v>37.57928118393235</v>
      </c>
      <c r="T25" s="88">
        <f t="shared" si="4"/>
        <v>39.3687707641196</v>
      </c>
      <c r="U25" s="88">
        <f t="shared" si="4"/>
        <v>41.15826034430685</v>
      </c>
      <c r="V25" s="88">
        <f t="shared" si="4"/>
        <v>42.94774992449411</v>
      </c>
      <c r="W25" s="86">
        <f t="shared" si="2"/>
        <v>22</v>
      </c>
      <c r="X25" s="201"/>
    </row>
    <row r="26" spans="1:24" ht="15.75">
      <c r="A26" s="201"/>
      <c r="B26" s="86">
        <v>23</v>
      </c>
      <c r="C26" s="88">
        <f t="shared" si="3"/>
        <v>15.405171168568542</v>
      </c>
      <c r="D26" s="88">
        <f t="shared" si="3"/>
        <v>10.270114112379026</v>
      </c>
      <c r="E26" s="88">
        <f t="shared" si="3"/>
        <v>11.981799797775532</v>
      </c>
      <c r="F26" s="88">
        <f t="shared" si="3"/>
        <v>13.693485483172035</v>
      </c>
      <c r="G26" s="88">
        <f t="shared" si="3"/>
        <v>15.405171168568542</v>
      </c>
      <c r="H26" s="88">
        <f t="shared" si="3"/>
        <v>17.116856853965043</v>
      </c>
      <c r="I26" s="88">
        <f t="shared" si="3"/>
        <v>18.82854253936155</v>
      </c>
      <c r="J26" s="88">
        <f t="shared" si="3"/>
        <v>20.540228224758053</v>
      </c>
      <c r="K26" s="88">
        <f t="shared" si="3"/>
        <v>22.251913910154556</v>
      </c>
      <c r="L26" s="88">
        <f t="shared" si="3"/>
        <v>23.963599595551063</v>
      </c>
      <c r="M26" s="88">
        <f t="shared" si="4"/>
        <v>25.675285280947566</v>
      </c>
      <c r="N26" s="88">
        <f t="shared" si="4"/>
        <v>27.38697096634407</v>
      </c>
      <c r="O26" s="88">
        <f t="shared" si="4"/>
        <v>29.098656651740573</v>
      </c>
      <c r="P26" s="88">
        <f t="shared" si="4"/>
        <v>30.810342337137083</v>
      </c>
      <c r="Q26" s="88">
        <f t="shared" si="4"/>
        <v>32.52202802253358</v>
      </c>
      <c r="R26" s="88">
        <f t="shared" si="4"/>
        <v>34.233713707930086</v>
      </c>
      <c r="S26" s="88">
        <f t="shared" si="4"/>
        <v>35.94539939332659</v>
      </c>
      <c r="T26" s="88">
        <f t="shared" si="4"/>
        <v>37.6570850787231</v>
      </c>
      <c r="U26" s="88">
        <f t="shared" si="4"/>
        <v>39.3687707641196</v>
      </c>
      <c r="V26" s="88">
        <f t="shared" si="4"/>
        <v>41.080456449516106</v>
      </c>
      <c r="W26" s="86">
        <f t="shared" si="2"/>
        <v>23</v>
      </c>
      <c r="X26" s="201"/>
    </row>
    <row r="27" spans="1:24" ht="15.75">
      <c r="A27" s="201"/>
      <c r="B27" s="86">
        <v>24</v>
      </c>
      <c r="C27" s="88">
        <f t="shared" si="3"/>
        <v>14.763289036544851</v>
      </c>
      <c r="D27" s="88">
        <f t="shared" si="3"/>
        <v>9.8421926910299</v>
      </c>
      <c r="E27" s="88">
        <f t="shared" si="3"/>
        <v>11.482558139534884</v>
      </c>
      <c r="F27" s="88">
        <f t="shared" si="3"/>
        <v>13.122923588039868</v>
      </c>
      <c r="G27" s="88">
        <f t="shared" si="3"/>
        <v>14.763289036544851</v>
      </c>
      <c r="H27" s="88">
        <f t="shared" si="3"/>
        <v>16.403654485049834</v>
      </c>
      <c r="I27" s="88">
        <f t="shared" si="3"/>
        <v>18.044019933554818</v>
      </c>
      <c r="J27" s="88">
        <f t="shared" si="3"/>
        <v>19.6843853820598</v>
      </c>
      <c r="K27" s="88">
        <f t="shared" si="3"/>
        <v>21.324750830564785</v>
      </c>
      <c r="L27" s="88">
        <f t="shared" si="3"/>
        <v>22.96511627906977</v>
      </c>
      <c r="M27" s="88">
        <f t="shared" si="4"/>
        <v>24.60548172757475</v>
      </c>
      <c r="N27" s="88">
        <f t="shared" si="4"/>
        <v>26.245847176079735</v>
      </c>
      <c r="O27" s="88">
        <f t="shared" si="4"/>
        <v>27.88621262458472</v>
      </c>
      <c r="P27" s="88">
        <f t="shared" si="4"/>
        <v>29.526578073089702</v>
      </c>
      <c r="Q27" s="88">
        <f t="shared" si="4"/>
        <v>31.166943521594686</v>
      </c>
      <c r="R27" s="88">
        <f t="shared" si="4"/>
        <v>32.80730897009967</v>
      </c>
      <c r="S27" s="88">
        <f t="shared" si="4"/>
        <v>34.44767441860465</v>
      </c>
      <c r="T27" s="88">
        <f t="shared" si="4"/>
        <v>36.088039867109636</v>
      </c>
      <c r="U27" s="88">
        <f t="shared" si="4"/>
        <v>37.72840531561462</v>
      </c>
      <c r="V27" s="88">
        <f t="shared" si="4"/>
        <v>39.3687707641196</v>
      </c>
      <c r="W27" s="86">
        <f t="shared" si="2"/>
        <v>24</v>
      </c>
      <c r="X27" s="201"/>
    </row>
    <row r="28" spans="1:24" ht="15.75">
      <c r="A28" s="201"/>
      <c r="B28" s="86">
        <v>25</v>
      </c>
      <c r="C28" s="88">
        <f aca="true" t="shared" si="5" ref="C28:L37">($A$4/$E$4)*(C$7/$B28)</f>
        <v>14.172757475083056</v>
      </c>
      <c r="D28" s="88">
        <f t="shared" si="5"/>
        <v>9.448504983388704</v>
      </c>
      <c r="E28" s="88">
        <f t="shared" si="5"/>
        <v>11.02325581395349</v>
      </c>
      <c r="F28" s="88">
        <f t="shared" si="5"/>
        <v>12.598006644518273</v>
      </c>
      <c r="G28" s="88">
        <f t="shared" si="5"/>
        <v>14.172757475083056</v>
      </c>
      <c r="H28" s="88">
        <f t="shared" si="5"/>
        <v>15.747508305647841</v>
      </c>
      <c r="I28" s="88">
        <f t="shared" si="5"/>
        <v>17.322259136212626</v>
      </c>
      <c r="J28" s="88">
        <f t="shared" si="5"/>
        <v>18.897009966777407</v>
      </c>
      <c r="K28" s="88">
        <f t="shared" si="5"/>
        <v>20.471760797342196</v>
      </c>
      <c r="L28" s="88">
        <f t="shared" si="5"/>
        <v>22.04651162790698</v>
      </c>
      <c r="M28" s="88">
        <f aca="true" t="shared" si="6" ref="M28:V37">($A$4/$E$4)*(M$7/$B28)</f>
        <v>23.62126245847176</v>
      </c>
      <c r="N28" s="88">
        <f t="shared" si="6"/>
        <v>25.196013289036546</v>
      </c>
      <c r="O28" s="88">
        <f t="shared" si="6"/>
        <v>26.77076411960133</v>
      </c>
      <c r="P28" s="88">
        <f t="shared" si="6"/>
        <v>28.345514950166113</v>
      </c>
      <c r="Q28" s="88">
        <f t="shared" si="6"/>
        <v>29.920265780730897</v>
      </c>
      <c r="R28" s="88">
        <f t="shared" si="6"/>
        <v>31.495016611295682</v>
      </c>
      <c r="S28" s="88">
        <f t="shared" si="6"/>
        <v>33.06976744186046</v>
      </c>
      <c r="T28" s="88">
        <f t="shared" si="6"/>
        <v>34.64451827242525</v>
      </c>
      <c r="U28" s="88">
        <f t="shared" si="6"/>
        <v>36.21926910299003</v>
      </c>
      <c r="V28" s="88">
        <f t="shared" si="6"/>
        <v>37.794019933554814</v>
      </c>
      <c r="W28" s="86">
        <f t="shared" si="2"/>
        <v>25</v>
      </c>
      <c r="X28" s="201"/>
    </row>
    <row r="29" spans="1:24" ht="15.75">
      <c r="A29" s="201"/>
      <c r="B29" s="86">
        <v>26</v>
      </c>
      <c r="C29" s="88">
        <f t="shared" si="5"/>
        <v>13.627651418349092</v>
      </c>
      <c r="D29" s="88">
        <f t="shared" si="5"/>
        <v>9.085100945566063</v>
      </c>
      <c r="E29" s="88">
        <f t="shared" si="5"/>
        <v>10.599284436493738</v>
      </c>
      <c r="F29" s="88">
        <f t="shared" si="5"/>
        <v>12.113467927421416</v>
      </c>
      <c r="G29" s="88">
        <f t="shared" si="5"/>
        <v>13.627651418349092</v>
      </c>
      <c r="H29" s="88">
        <f t="shared" si="5"/>
        <v>15.14183490927677</v>
      </c>
      <c r="I29" s="88">
        <f t="shared" si="5"/>
        <v>16.65601840020445</v>
      </c>
      <c r="J29" s="88">
        <f t="shared" si="5"/>
        <v>18.170201891132127</v>
      </c>
      <c r="K29" s="88">
        <f t="shared" si="5"/>
        <v>19.6843853820598</v>
      </c>
      <c r="L29" s="88">
        <f t="shared" si="5"/>
        <v>21.198568872987476</v>
      </c>
      <c r="M29" s="88">
        <f t="shared" si="6"/>
        <v>22.712752363915154</v>
      </c>
      <c r="N29" s="88">
        <f t="shared" si="6"/>
        <v>24.226935854842832</v>
      </c>
      <c r="O29" s="88">
        <f t="shared" si="6"/>
        <v>25.74111934577051</v>
      </c>
      <c r="P29" s="88">
        <f t="shared" si="6"/>
        <v>27.255302836698185</v>
      </c>
      <c r="Q29" s="88">
        <f t="shared" si="6"/>
        <v>28.769486327625863</v>
      </c>
      <c r="R29" s="88">
        <f t="shared" si="6"/>
        <v>30.28366981855354</v>
      </c>
      <c r="S29" s="88">
        <f t="shared" si="6"/>
        <v>31.79785330948122</v>
      </c>
      <c r="T29" s="88">
        <f t="shared" si="6"/>
        <v>33.3120368004089</v>
      </c>
      <c r="U29" s="88">
        <f t="shared" si="6"/>
        <v>34.82622029133657</v>
      </c>
      <c r="V29" s="88">
        <f t="shared" si="6"/>
        <v>36.340403782264254</v>
      </c>
      <c r="W29" s="86">
        <f t="shared" si="2"/>
        <v>26</v>
      </c>
      <c r="X29" s="201"/>
    </row>
    <row r="30" spans="1:24" ht="15.75">
      <c r="A30" s="201"/>
      <c r="B30" s="86">
        <v>27</v>
      </c>
      <c r="C30" s="88">
        <f t="shared" si="5"/>
        <v>13.122923588039868</v>
      </c>
      <c r="D30" s="88">
        <f t="shared" si="5"/>
        <v>8.748615725359912</v>
      </c>
      <c r="E30" s="88">
        <f t="shared" si="5"/>
        <v>10.20671834625323</v>
      </c>
      <c r="F30" s="88">
        <f t="shared" si="5"/>
        <v>11.664820967146548</v>
      </c>
      <c r="G30" s="88">
        <f t="shared" si="5"/>
        <v>13.122923588039868</v>
      </c>
      <c r="H30" s="88">
        <f t="shared" si="5"/>
        <v>14.581026208933185</v>
      </c>
      <c r="I30" s="88">
        <f t="shared" si="5"/>
        <v>16.039128829826502</v>
      </c>
      <c r="J30" s="88">
        <f t="shared" si="5"/>
        <v>17.497231450719823</v>
      </c>
      <c r="K30" s="88">
        <f t="shared" si="5"/>
        <v>18.95533407161314</v>
      </c>
      <c r="L30" s="88">
        <f t="shared" si="5"/>
        <v>20.41343669250646</v>
      </c>
      <c r="M30" s="88">
        <f t="shared" si="6"/>
        <v>21.87153931339978</v>
      </c>
      <c r="N30" s="88">
        <f t="shared" si="6"/>
        <v>23.329641934293097</v>
      </c>
      <c r="O30" s="88">
        <f t="shared" si="6"/>
        <v>24.787744555186418</v>
      </c>
      <c r="P30" s="88">
        <f t="shared" si="6"/>
        <v>26.245847176079735</v>
      </c>
      <c r="Q30" s="88">
        <f t="shared" si="6"/>
        <v>27.703949796973056</v>
      </c>
      <c r="R30" s="88">
        <f t="shared" si="6"/>
        <v>29.16205241786637</v>
      </c>
      <c r="S30" s="88">
        <f t="shared" si="6"/>
        <v>30.62015503875969</v>
      </c>
      <c r="T30" s="88">
        <f t="shared" si="6"/>
        <v>32.078257659653005</v>
      </c>
      <c r="U30" s="88">
        <f t="shared" si="6"/>
        <v>33.536360280546326</v>
      </c>
      <c r="V30" s="88">
        <f t="shared" si="6"/>
        <v>34.99446290143965</v>
      </c>
      <c r="W30" s="86">
        <f t="shared" si="2"/>
        <v>27</v>
      </c>
      <c r="X30" s="201"/>
    </row>
    <row r="31" spans="1:24" ht="15.75">
      <c r="A31" s="201"/>
      <c r="B31" s="86">
        <v>28</v>
      </c>
      <c r="C31" s="88">
        <f t="shared" si="5"/>
        <v>12.654247745609874</v>
      </c>
      <c r="D31" s="88">
        <f t="shared" si="5"/>
        <v>8.436165163739915</v>
      </c>
      <c r="E31" s="88">
        <f t="shared" si="5"/>
        <v>9.8421926910299</v>
      </c>
      <c r="F31" s="88">
        <f t="shared" si="5"/>
        <v>11.248220218319886</v>
      </c>
      <c r="G31" s="88">
        <f t="shared" si="5"/>
        <v>12.654247745609874</v>
      </c>
      <c r="H31" s="88">
        <f t="shared" si="5"/>
        <v>14.060275272899858</v>
      </c>
      <c r="I31" s="88">
        <f t="shared" si="5"/>
        <v>15.466302800189844</v>
      </c>
      <c r="J31" s="88">
        <f t="shared" si="5"/>
        <v>16.87233032747983</v>
      </c>
      <c r="K31" s="88">
        <f t="shared" si="5"/>
        <v>18.278357854769816</v>
      </c>
      <c r="L31" s="88">
        <f t="shared" si="5"/>
        <v>19.6843853820598</v>
      </c>
      <c r="M31" s="88">
        <f t="shared" si="6"/>
        <v>21.090412909349787</v>
      </c>
      <c r="N31" s="88">
        <f t="shared" si="6"/>
        <v>22.496440436639773</v>
      </c>
      <c r="O31" s="88">
        <f t="shared" si="6"/>
        <v>23.902467963929755</v>
      </c>
      <c r="P31" s="88">
        <f t="shared" si="6"/>
        <v>25.308495491219748</v>
      </c>
      <c r="Q31" s="88">
        <f t="shared" si="6"/>
        <v>26.71452301850973</v>
      </c>
      <c r="R31" s="88">
        <f t="shared" si="6"/>
        <v>28.120550545799716</v>
      </c>
      <c r="S31" s="88">
        <f t="shared" si="6"/>
        <v>29.526578073089702</v>
      </c>
      <c r="T31" s="88">
        <f t="shared" si="6"/>
        <v>30.932605600379688</v>
      </c>
      <c r="U31" s="88">
        <f t="shared" si="6"/>
        <v>32.338633127669674</v>
      </c>
      <c r="V31" s="88">
        <f t="shared" si="6"/>
        <v>33.74466065495966</v>
      </c>
      <c r="W31" s="86">
        <f t="shared" si="2"/>
        <v>28</v>
      </c>
      <c r="X31" s="201"/>
    </row>
    <row r="32" spans="1:24" ht="15.75">
      <c r="A32" s="201"/>
      <c r="B32" s="86">
        <v>29</v>
      </c>
      <c r="C32" s="88">
        <f t="shared" si="5"/>
        <v>12.217894375071602</v>
      </c>
      <c r="D32" s="88">
        <f t="shared" si="5"/>
        <v>8.145262916714401</v>
      </c>
      <c r="E32" s="88">
        <f t="shared" si="5"/>
        <v>9.502806736166802</v>
      </c>
      <c r="F32" s="88">
        <f t="shared" si="5"/>
        <v>10.8603505556192</v>
      </c>
      <c r="G32" s="88">
        <f t="shared" si="5"/>
        <v>12.217894375071602</v>
      </c>
      <c r="H32" s="88">
        <f t="shared" si="5"/>
        <v>13.575438194524002</v>
      </c>
      <c r="I32" s="88">
        <f t="shared" si="5"/>
        <v>14.9329820139764</v>
      </c>
      <c r="J32" s="88">
        <f t="shared" si="5"/>
        <v>16.290525833428802</v>
      </c>
      <c r="K32" s="88">
        <f t="shared" si="5"/>
        <v>17.6480696528812</v>
      </c>
      <c r="L32" s="88">
        <f t="shared" si="5"/>
        <v>19.005613472333604</v>
      </c>
      <c r="M32" s="88">
        <f t="shared" si="6"/>
        <v>20.363157291786003</v>
      </c>
      <c r="N32" s="88">
        <f t="shared" si="6"/>
        <v>21.7207011112384</v>
      </c>
      <c r="O32" s="88">
        <f t="shared" si="6"/>
        <v>23.0782449306908</v>
      </c>
      <c r="P32" s="88">
        <f t="shared" si="6"/>
        <v>24.435788750143203</v>
      </c>
      <c r="Q32" s="88">
        <f t="shared" si="6"/>
        <v>25.793332569595602</v>
      </c>
      <c r="R32" s="88">
        <f t="shared" si="6"/>
        <v>27.150876389048005</v>
      </c>
      <c r="S32" s="88">
        <f t="shared" si="6"/>
        <v>28.508420208500404</v>
      </c>
      <c r="T32" s="88">
        <f t="shared" si="6"/>
        <v>29.8659640279528</v>
      </c>
      <c r="U32" s="88">
        <f t="shared" si="6"/>
        <v>31.2235078474052</v>
      </c>
      <c r="V32" s="88">
        <f t="shared" si="6"/>
        <v>32.581051666857604</v>
      </c>
      <c r="W32" s="86">
        <f t="shared" si="2"/>
        <v>29</v>
      </c>
      <c r="X32" s="201"/>
    </row>
    <row r="33" spans="1:24" ht="15.75">
      <c r="A33" s="201"/>
      <c r="B33" s="86">
        <v>30</v>
      </c>
      <c r="C33" s="88">
        <f t="shared" si="5"/>
        <v>11.81063122923588</v>
      </c>
      <c r="D33" s="88">
        <f t="shared" si="5"/>
        <v>7.8737541528239205</v>
      </c>
      <c r="E33" s="88">
        <f t="shared" si="5"/>
        <v>9.186046511627907</v>
      </c>
      <c r="F33" s="88">
        <f t="shared" si="5"/>
        <v>10.498338870431894</v>
      </c>
      <c r="G33" s="88">
        <f t="shared" si="5"/>
        <v>11.81063122923588</v>
      </c>
      <c r="H33" s="88">
        <f t="shared" si="5"/>
        <v>13.122923588039868</v>
      </c>
      <c r="I33" s="88">
        <f t="shared" si="5"/>
        <v>14.435215946843853</v>
      </c>
      <c r="J33" s="88">
        <f t="shared" si="5"/>
        <v>15.747508305647841</v>
      </c>
      <c r="K33" s="88">
        <f t="shared" si="5"/>
        <v>17.059800664451828</v>
      </c>
      <c r="L33" s="88">
        <f t="shared" si="5"/>
        <v>18.372093023255815</v>
      </c>
      <c r="M33" s="88">
        <f t="shared" si="6"/>
        <v>19.6843853820598</v>
      </c>
      <c r="N33" s="88">
        <f t="shared" si="6"/>
        <v>20.996677740863788</v>
      </c>
      <c r="O33" s="88">
        <f t="shared" si="6"/>
        <v>22.308970099667775</v>
      </c>
      <c r="P33" s="88">
        <f t="shared" si="6"/>
        <v>23.62126245847176</v>
      </c>
      <c r="Q33" s="88">
        <f t="shared" si="6"/>
        <v>24.93355481727575</v>
      </c>
      <c r="R33" s="88">
        <f t="shared" si="6"/>
        <v>26.245847176079735</v>
      </c>
      <c r="S33" s="88">
        <f t="shared" si="6"/>
        <v>27.558139534883722</v>
      </c>
      <c r="T33" s="88">
        <f t="shared" si="6"/>
        <v>28.870431893687705</v>
      </c>
      <c r="U33" s="88">
        <f t="shared" si="6"/>
        <v>30.1827242524917</v>
      </c>
      <c r="V33" s="88">
        <f t="shared" si="6"/>
        <v>31.495016611295682</v>
      </c>
      <c r="W33" s="86">
        <f t="shared" si="2"/>
        <v>30</v>
      </c>
      <c r="X33" s="201"/>
    </row>
    <row r="34" spans="1:24" ht="15.75">
      <c r="A34" s="201"/>
      <c r="B34" s="86">
        <v>31</v>
      </c>
      <c r="C34" s="88">
        <f t="shared" si="5"/>
        <v>11.429643125066983</v>
      </c>
      <c r="D34" s="88">
        <f t="shared" si="5"/>
        <v>7.619762083377988</v>
      </c>
      <c r="E34" s="88">
        <f t="shared" si="5"/>
        <v>8.889722430607652</v>
      </c>
      <c r="F34" s="88">
        <f t="shared" si="5"/>
        <v>10.159682777837316</v>
      </c>
      <c r="G34" s="88">
        <f t="shared" si="5"/>
        <v>11.429643125066983</v>
      </c>
      <c r="H34" s="88">
        <f t="shared" si="5"/>
        <v>12.699603472296646</v>
      </c>
      <c r="I34" s="88">
        <f t="shared" si="5"/>
        <v>13.96956381952631</v>
      </c>
      <c r="J34" s="88">
        <f t="shared" si="5"/>
        <v>15.239524166755976</v>
      </c>
      <c r="K34" s="88">
        <f t="shared" si="5"/>
        <v>16.50948451398564</v>
      </c>
      <c r="L34" s="88">
        <f t="shared" si="5"/>
        <v>17.779444861215303</v>
      </c>
      <c r="M34" s="88">
        <f t="shared" si="6"/>
        <v>19.04940520844497</v>
      </c>
      <c r="N34" s="88">
        <f t="shared" si="6"/>
        <v>20.319365555674633</v>
      </c>
      <c r="O34" s="88">
        <f t="shared" si="6"/>
        <v>21.589325902904296</v>
      </c>
      <c r="P34" s="88">
        <f t="shared" si="6"/>
        <v>22.859286250133966</v>
      </c>
      <c r="Q34" s="88">
        <f t="shared" si="6"/>
        <v>24.12924659736363</v>
      </c>
      <c r="R34" s="88">
        <f t="shared" si="6"/>
        <v>25.399206944593292</v>
      </c>
      <c r="S34" s="88">
        <f t="shared" si="6"/>
        <v>26.669167291822955</v>
      </c>
      <c r="T34" s="88">
        <f t="shared" si="6"/>
        <v>27.93912763905262</v>
      </c>
      <c r="U34" s="88">
        <f t="shared" si="6"/>
        <v>29.209087986282285</v>
      </c>
      <c r="V34" s="88">
        <f t="shared" si="6"/>
        <v>30.47904833351195</v>
      </c>
      <c r="W34" s="86">
        <f t="shared" si="2"/>
        <v>31</v>
      </c>
      <c r="X34" s="201"/>
    </row>
    <row r="35" spans="1:24" ht="15.75">
      <c r="A35" s="201"/>
      <c r="B35" s="86">
        <v>32</v>
      </c>
      <c r="C35" s="88">
        <f t="shared" si="5"/>
        <v>11.07246677740864</v>
      </c>
      <c r="D35" s="88">
        <f t="shared" si="5"/>
        <v>7.3816445182724255</v>
      </c>
      <c r="E35" s="88">
        <f t="shared" si="5"/>
        <v>8.611918604651162</v>
      </c>
      <c r="F35" s="88">
        <f t="shared" si="5"/>
        <v>9.8421926910299</v>
      </c>
      <c r="G35" s="88">
        <f t="shared" si="5"/>
        <v>11.07246677740864</v>
      </c>
      <c r="H35" s="88">
        <f t="shared" si="5"/>
        <v>12.302740863787376</v>
      </c>
      <c r="I35" s="88">
        <f t="shared" si="5"/>
        <v>13.533014950166113</v>
      </c>
      <c r="J35" s="88">
        <f t="shared" si="5"/>
        <v>14.763289036544851</v>
      </c>
      <c r="K35" s="88">
        <f t="shared" si="5"/>
        <v>15.99356312292359</v>
      </c>
      <c r="L35" s="88">
        <f t="shared" si="5"/>
        <v>17.223837209302324</v>
      </c>
      <c r="M35" s="88">
        <f t="shared" si="6"/>
        <v>18.454111295681063</v>
      </c>
      <c r="N35" s="88">
        <f t="shared" si="6"/>
        <v>19.6843853820598</v>
      </c>
      <c r="O35" s="88">
        <f t="shared" si="6"/>
        <v>20.91465946843854</v>
      </c>
      <c r="P35" s="88">
        <f t="shared" si="6"/>
        <v>22.14493355481728</v>
      </c>
      <c r="Q35" s="88">
        <f t="shared" si="6"/>
        <v>23.375207641196013</v>
      </c>
      <c r="R35" s="88">
        <f t="shared" si="6"/>
        <v>24.60548172757475</v>
      </c>
      <c r="S35" s="88">
        <f t="shared" si="6"/>
        <v>25.83575581395349</v>
      </c>
      <c r="T35" s="88">
        <f t="shared" si="6"/>
        <v>27.066029900332225</v>
      </c>
      <c r="U35" s="88">
        <f t="shared" si="6"/>
        <v>28.296303986710964</v>
      </c>
      <c r="V35" s="88">
        <f t="shared" si="6"/>
        <v>29.526578073089702</v>
      </c>
      <c r="W35" s="86">
        <f t="shared" si="2"/>
        <v>32</v>
      </c>
      <c r="X35" s="201"/>
    </row>
    <row r="36" spans="1:24" ht="15.75">
      <c r="A36" s="201"/>
      <c r="B36" s="86">
        <v>33</v>
      </c>
      <c r="C36" s="88">
        <f t="shared" si="5"/>
        <v>10.736937481123528</v>
      </c>
      <c r="D36" s="88">
        <f t="shared" si="5"/>
        <v>7.157958320749019</v>
      </c>
      <c r="E36" s="88">
        <f t="shared" si="5"/>
        <v>8.350951374207188</v>
      </c>
      <c r="F36" s="88">
        <f t="shared" si="5"/>
        <v>9.543944427665359</v>
      </c>
      <c r="G36" s="88">
        <f t="shared" si="5"/>
        <v>10.736937481123528</v>
      </c>
      <c r="H36" s="88">
        <f t="shared" si="5"/>
        <v>11.929930534581699</v>
      </c>
      <c r="I36" s="88">
        <f t="shared" si="5"/>
        <v>13.122923588039868</v>
      </c>
      <c r="J36" s="88">
        <f t="shared" si="5"/>
        <v>14.315916641498038</v>
      </c>
      <c r="K36" s="88">
        <f t="shared" si="5"/>
        <v>15.508909694956207</v>
      </c>
      <c r="L36" s="88">
        <f t="shared" si="5"/>
        <v>16.701902748414376</v>
      </c>
      <c r="M36" s="88">
        <f t="shared" si="6"/>
        <v>17.894895801872547</v>
      </c>
      <c r="N36" s="88">
        <f t="shared" si="6"/>
        <v>19.087888855330718</v>
      </c>
      <c r="O36" s="88">
        <f t="shared" si="6"/>
        <v>20.280881908788885</v>
      </c>
      <c r="P36" s="88">
        <f t="shared" si="6"/>
        <v>21.473874962247056</v>
      </c>
      <c r="Q36" s="88">
        <f t="shared" si="6"/>
        <v>22.666868015705226</v>
      </c>
      <c r="R36" s="88">
        <f t="shared" si="6"/>
        <v>23.859861069163397</v>
      </c>
      <c r="S36" s="88">
        <f t="shared" si="6"/>
        <v>25.052854122621564</v>
      </c>
      <c r="T36" s="88">
        <f t="shared" si="6"/>
        <v>26.245847176079735</v>
      </c>
      <c r="U36" s="88">
        <f t="shared" si="6"/>
        <v>27.438840229537906</v>
      </c>
      <c r="V36" s="88">
        <f t="shared" si="6"/>
        <v>28.631833282996077</v>
      </c>
      <c r="W36" s="86">
        <f t="shared" si="2"/>
        <v>33</v>
      </c>
      <c r="X36" s="201"/>
    </row>
    <row r="37" spans="1:24" ht="15.75">
      <c r="A37" s="201"/>
      <c r="B37" s="86">
        <v>34</v>
      </c>
      <c r="C37" s="88">
        <f t="shared" si="5"/>
        <v>10.421145202266954</v>
      </c>
      <c r="D37" s="88">
        <f t="shared" si="5"/>
        <v>6.947430134844637</v>
      </c>
      <c r="E37" s="88">
        <f t="shared" si="5"/>
        <v>8.105335157318741</v>
      </c>
      <c r="F37" s="88">
        <f t="shared" si="5"/>
        <v>9.263240179792847</v>
      </c>
      <c r="G37" s="88">
        <f t="shared" si="5"/>
        <v>10.421145202266954</v>
      </c>
      <c r="H37" s="88">
        <f t="shared" si="5"/>
        <v>11.57905022474106</v>
      </c>
      <c r="I37" s="88">
        <f t="shared" si="5"/>
        <v>12.736955247215166</v>
      </c>
      <c r="J37" s="88">
        <f t="shared" si="5"/>
        <v>13.894860269689273</v>
      </c>
      <c r="K37" s="88">
        <f t="shared" si="5"/>
        <v>15.052765292163377</v>
      </c>
      <c r="L37" s="88">
        <f t="shared" si="5"/>
        <v>16.210670314637483</v>
      </c>
      <c r="M37" s="88">
        <f t="shared" si="6"/>
        <v>17.36857533711159</v>
      </c>
      <c r="N37" s="88">
        <f t="shared" si="6"/>
        <v>18.526480359585694</v>
      </c>
      <c r="O37" s="88">
        <f t="shared" si="6"/>
        <v>19.6843853820598</v>
      </c>
      <c r="P37" s="88">
        <f t="shared" si="6"/>
        <v>20.84229040453391</v>
      </c>
      <c r="Q37" s="88">
        <f t="shared" si="6"/>
        <v>22.000195427008013</v>
      </c>
      <c r="R37" s="88">
        <f t="shared" si="6"/>
        <v>23.15810044948212</v>
      </c>
      <c r="S37" s="88">
        <f t="shared" si="6"/>
        <v>24.316005471956228</v>
      </c>
      <c r="T37" s="88">
        <f t="shared" si="6"/>
        <v>25.47391049443033</v>
      </c>
      <c r="U37" s="88">
        <f t="shared" si="6"/>
        <v>26.63181551690444</v>
      </c>
      <c r="V37" s="88">
        <f t="shared" si="6"/>
        <v>27.789720539378546</v>
      </c>
      <c r="W37" s="86">
        <f t="shared" si="2"/>
        <v>34</v>
      </c>
      <c r="X37" s="201"/>
    </row>
    <row r="38" spans="1:24" ht="15.75">
      <c r="A38" s="201"/>
      <c r="B38" s="86">
        <v>35</v>
      </c>
      <c r="C38" s="88">
        <f aca="true" t="shared" si="7" ref="C38:L47">($A$4/$E$4)*(C$7/$B38)</f>
        <v>10.123398196487896</v>
      </c>
      <c r="D38" s="88">
        <f t="shared" si="7"/>
        <v>6.748932130991932</v>
      </c>
      <c r="E38" s="88">
        <f t="shared" si="7"/>
        <v>7.8737541528239205</v>
      </c>
      <c r="F38" s="88">
        <f t="shared" si="7"/>
        <v>8.99857617465591</v>
      </c>
      <c r="G38" s="88">
        <f t="shared" si="7"/>
        <v>10.123398196487896</v>
      </c>
      <c r="H38" s="88">
        <f t="shared" si="7"/>
        <v>11.248220218319886</v>
      </c>
      <c r="I38" s="88">
        <f t="shared" si="7"/>
        <v>12.373042240151875</v>
      </c>
      <c r="J38" s="88">
        <f t="shared" si="7"/>
        <v>13.497864261983864</v>
      </c>
      <c r="K38" s="88">
        <f t="shared" si="7"/>
        <v>14.622686283815852</v>
      </c>
      <c r="L38" s="88">
        <f t="shared" si="7"/>
        <v>15.747508305647841</v>
      </c>
      <c r="M38" s="88">
        <f aca="true" t="shared" si="8" ref="M38:V47">($A$4/$E$4)*(M$7/$B38)</f>
        <v>16.87233032747983</v>
      </c>
      <c r="N38" s="88">
        <f t="shared" si="8"/>
        <v>17.99715234931182</v>
      </c>
      <c r="O38" s="88">
        <f t="shared" si="8"/>
        <v>19.121974371143807</v>
      </c>
      <c r="P38" s="88">
        <f t="shared" si="8"/>
        <v>20.246796392975792</v>
      </c>
      <c r="Q38" s="88">
        <f t="shared" si="8"/>
        <v>21.371618414807784</v>
      </c>
      <c r="R38" s="88">
        <f t="shared" si="8"/>
        <v>22.496440436639773</v>
      </c>
      <c r="S38" s="88">
        <f t="shared" si="8"/>
        <v>23.62126245847176</v>
      </c>
      <c r="T38" s="88">
        <f t="shared" si="8"/>
        <v>24.74608448030375</v>
      </c>
      <c r="U38" s="88">
        <f t="shared" si="8"/>
        <v>25.87090650213574</v>
      </c>
      <c r="V38" s="88">
        <f t="shared" si="8"/>
        <v>26.995728523967728</v>
      </c>
      <c r="W38" s="86">
        <f t="shared" si="2"/>
        <v>35</v>
      </c>
      <c r="X38" s="201"/>
    </row>
    <row r="39" spans="1:24" ht="15.75">
      <c r="A39" s="201"/>
      <c r="B39" s="86">
        <v>36</v>
      </c>
      <c r="C39" s="88">
        <f t="shared" si="7"/>
        <v>9.8421926910299</v>
      </c>
      <c r="D39" s="88">
        <f t="shared" si="7"/>
        <v>6.561461794019934</v>
      </c>
      <c r="E39" s="88">
        <f t="shared" si="7"/>
        <v>7.655038759689923</v>
      </c>
      <c r="F39" s="88">
        <f t="shared" si="7"/>
        <v>8.748615725359912</v>
      </c>
      <c r="G39" s="88">
        <f t="shared" si="7"/>
        <v>9.8421926910299</v>
      </c>
      <c r="H39" s="88">
        <f t="shared" si="7"/>
        <v>10.93576965669989</v>
      </c>
      <c r="I39" s="88">
        <f t="shared" si="7"/>
        <v>12.02934662236988</v>
      </c>
      <c r="J39" s="88">
        <f t="shared" si="7"/>
        <v>13.122923588039868</v>
      </c>
      <c r="K39" s="88">
        <f t="shared" si="7"/>
        <v>14.216500553709857</v>
      </c>
      <c r="L39" s="88">
        <f t="shared" si="7"/>
        <v>15.310077519379846</v>
      </c>
      <c r="M39" s="88">
        <f t="shared" si="8"/>
        <v>16.403654485049834</v>
      </c>
      <c r="N39" s="88">
        <f t="shared" si="8"/>
        <v>17.497231450719823</v>
      </c>
      <c r="O39" s="88">
        <f t="shared" si="8"/>
        <v>18.590808416389812</v>
      </c>
      <c r="P39" s="88">
        <f t="shared" si="8"/>
        <v>19.6843853820598</v>
      </c>
      <c r="Q39" s="88">
        <f t="shared" si="8"/>
        <v>20.77796234772979</v>
      </c>
      <c r="R39" s="88">
        <f t="shared" si="8"/>
        <v>21.87153931339978</v>
      </c>
      <c r="S39" s="88">
        <f t="shared" si="8"/>
        <v>22.96511627906977</v>
      </c>
      <c r="T39" s="88">
        <f t="shared" si="8"/>
        <v>24.05869324473976</v>
      </c>
      <c r="U39" s="88">
        <f t="shared" si="8"/>
        <v>25.152270210409743</v>
      </c>
      <c r="V39" s="88">
        <f t="shared" si="8"/>
        <v>26.245847176079735</v>
      </c>
      <c r="W39" s="86">
        <f t="shared" si="2"/>
        <v>36</v>
      </c>
      <c r="X39" s="201"/>
    </row>
    <row r="40" spans="1:24" ht="15.75">
      <c r="A40" s="201"/>
      <c r="B40" s="86">
        <v>37</v>
      </c>
      <c r="C40" s="88">
        <f t="shared" si="7"/>
        <v>9.576187483164228</v>
      </c>
      <c r="D40" s="88">
        <f t="shared" si="7"/>
        <v>6.384124988776152</v>
      </c>
      <c r="E40" s="88">
        <f t="shared" si="7"/>
        <v>7.448145820238844</v>
      </c>
      <c r="F40" s="88">
        <f t="shared" si="7"/>
        <v>8.512166651701536</v>
      </c>
      <c r="G40" s="88">
        <f t="shared" si="7"/>
        <v>9.576187483164228</v>
      </c>
      <c r="H40" s="88">
        <f t="shared" si="7"/>
        <v>10.64020831462692</v>
      </c>
      <c r="I40" s="88">
        <f t="shared" si="7"/>
        <v>11.704229146089613</v>
      </c>
      <c r="J40" s="88">
        <f t="shared" si="7"/>
        <v>12.768249977552305</v>
      </c>
      <c r="K40" s="88">
        <f t="shared" si="7"/>
        <v>13.832270809014997</v>
      </c>
      <c r="L40" s="88">
        <f t="shared" si="7"/>
        <v>14.896291640477688</v>
      </c>
      <c r="M40" s="88">
        <f t="shared" si="8"/>
        <v>15.96031247194038</v>
      </c>
      <c r="N40" s="88">
        <f t="shared" si="8"/>
        <v>17.024333303403072</v>
      </c>
      <c r="O40" s="88">
        <f t="shared" si="8"/>
        <v>18.088354134865764</v>
      </c>
      <c r="P40" s="88">
        <f t="shared" si="8"/>
        <v>19.152374966328455</v>
      </c>
      <c r="Q40" s="88">
        <f t="shared" si="8"/>
        <v>20.216395797791147</v>
      </c>
      <c r="R40" s="88">
        <f t="shared" si="8"/>
        <v>21.28041662925384</v>
      </c>
      <c r="S40" s="88">
        <f t="shared" si="8"/>
        <v>22.34443746071653</v>
      </c>
      <c r="T40" s="88">
        <f t="shared" si="8"/>
        <v>23.408458292179226</v>
      </c>
      <c r="U40" s="88">
        <f t="shared" si="8"/>
        <v>24.472479123641914</v>
      </c>
      <c r="V40" s="88">
        <f t="shared" si="8"/>
        <v>25.53649995510461</v>
      </c>
      <c r="W40" s="86">
        <f aca="true" t="shared" si="9" ref="W40:W58">B40</f>
        <v>37</v>
      </c>
      <c r="X40" s="201"/>
    </row>
    <row r="41" spans="1:24" ht="15.75">
      <c r="A41" s="201"/>
      <c r="B41" s="86">
        <v>38</v>
      </c>
      <c r="C41" s="88">
        <f t="shared" si="7"/>
        <v>9.324182549396747</v>
      </c>
      <c r="D41" s="88">
        <f t="shared" si="7"/>
        <v>6.2161216995978315</v>
      </c>
      <c r="E41" s="88">
        <f t="shared" si="7"/>
        <v>7.252141982864137</v>
      </c>
      <c r="F41" s="88">
        <f t="shared" si="7"/>
        <v>8.288162266130442</v>
      </c>
      <c r="G41" s="88">
        <f t="shared" si="7"/>
        <v>9.324182549396747</v>
      </c>
      <c r="H41" s="88">
        <f t="shared" si="7"/>
        <v>10.360202832663052</v>
      </c>
      <c r="I41" s="88">
        <f t="shared" si="7"/>
        <v>11.39622311592936</v>
      </c>
      <c r="J41" s="88">
        <f t="shared" si="7"/>
        <v>12.432243399195663</v>
      </c>
      <c r="K41" s="88">
        <f t="shared" si="7"/>
        <v>13.46826368246197</v>
      </c>
      <c r="L41" s="88">
        <f t="shared" si="7"/>
        <v>14.504283965728273</v>
      </c>
      <c r="M41" s="88">
        <f t="shared" si="8"/>
        <v>15.54030424899458</v>
      </c>
      <c r="N41" s="88">
        <f t="shared" si="8"/>
        <v>16.576324532260884</v>
      </c>
      <c r="O41" s="88">
        <f t="shared" si="8"/>
        <v>17.61234481552719</v>
      </c>
      <c r="P41" s="88">
        <f t="shared" si="8"/>
        <v>18.648365098793494</v>
      </c>
      <c r="Q41" s="88">
        <f t="shared" si="8"/>
        <v>19.6843853820598</v>
      </c>
      <c r="R41" s="88">
        <f t="shared" si="8"/>
        <v>20.720405665326105</v>
      </c>
      <c r="S41" s="88">
        <f t="shared" si="8"/>
        <v>21.756425948592415</v>
      </c>
      <c r="T41" s="88">
        <f t="shared" si="8"/>
        <v>22.79244623185872</v>
      </c>
      <c r="U41" s="88">
        <f t="shared" si="8"/>
        <v>23.828466515125022</v>
      </c>
      <c r="V41" s="88">
        <f t="shared" si="8"/>
        <v>24.864486798391326</v>
      </c>
      <c r="W41" s="86">
        <f t="shared" si="9"/>
        <v>38</v>
      </c>
      <c r="X41" s="201"/>
    </row>
    <row r="42" spans="1:24" ht="15.75">
      <c r="A42" s="201"/>
      <c r="B42" s="86">
        <v>39</v>
      </c>
      <c r="C42" s="88">
        <f t="shared" si="7"/>
        <v>9.085100945566063</v>
      </c>
      <c r="D42" s="88">
        <f t="shared" si="7"/>
        <v>6.056733963710708</v>
      </c>
      <c r="E42" s="88">
        <f t="shared" si="7"/>
        <v>7.0661896243291595</v>
      </c>
      <c r="F42" s="88">
        <f t="shared" si="7"/>
        <v>8.07564528494761</v>
      </c>
      <c r="G42" s="88">
        <f t="shared" si="7"/>
        <v>9.085100945566063</v>
      </c>
      <c r="H42" s="88">
        <f t="shared" si="7"/>
        <v>10.094556606184513</v>
      </c>
      <c r="I42" s="88">
        <f t="shared" si="7"/>
        <v>11.104012266802965</v>
      </c>
      <c r="J42" s="88">
        <f t="shared" si="7"/>
        <v>12.113467927421416</v>
      </c>
      <c r="K42" s="88">
        <f t="shared" si="7"/>
        <v>13.122923588039868</v>
      </c>
      <c r="L42" s="88">
        <f t="shared" si="7"/>
        <v>14.132379248658319</v>
      </c>
      <c r="M42" s="88">
        <f t="shared" si="8"/>
        <v>15.14183490927677</v>
      </c>
      <c r="N42" s="88">
        <f t="shared" si="8"/>
        <v>16.15129056989522</v>
      </c>
      <c r="O42" s="88">
        <f t="shared" si="8"/>
        <v>17.160746230513674</v>
      </c>
      <c r="P42" s="88">
        <f t="shared" si="8"/>
        <v>18.170201891132127</v>
      </c>
      <c r="Q42" s="88">
        <f t="shared" si="8"/>
        <v>19.179657551750577</v>
      </c>
      <c r="R42" s="88">
        <f t="shared" si="8"/>
        <v>20.189113212369026</v>
      </c>
      <c r="S42" s="88">
        <f t="shared" si="8"/>
        <v>21.198568872987476</v>
      </c>
      <c r="T42" s="88">
        <f t="shared" si="8"/>
        <v>22.20802453360593</v>
      </c>
      <c r="U42" s="88">
        <f t="shared" si="8"/>
        <v>23.217480194224382</v>
      </c>
      <c r="V42" s="88">
        <f t="shared" si="8"/>
        <v>24.226935854842832</v>
      </c>
      <c r="W42" s="86">
        <f t="shared" si="9"/>
        <v>39</v>
      </c>
      <c r="X42" s="201"/>
    </row>
    <row r="43" spans="1:24" ht="15.75">
      <c r="A43" s="201"/>
      <c r="B43" s="86">
        <v>40</v>
      </c>
      <c r="C43" s="88">
        <f t="shared" si="7"/>
        <v>8.85797342192691</v>
      </c>
      <c r="D43" s="88">
        <f t="shared" si="7"/>
        <v>5.90531561461794</v>
      </c>
      <c r="E43" s="88">
        <f t="shared" si="7"/>
        <v>6.8895348837209305</v>
      </c>
      <c r="F43" s="88">
        <f t="shared" si="7"/>
        <v>7.8737541528239205</v>
      </c>
      <c r="G43" s="88">
        <f t="shared" si="7"/>
        <v>8.85797342192691</v>
      </c>
      <c r="H43" s="88">
        <f t="shared" si="7"/>
        <v>9.8421926910299</v>
      </c>
      <c r="I43" s="88">
        <f t="shared" si="7"/>
        <v>10.82641196013289</v>
      </c>
      <c r="J43" s="88">
        <f t="shared" si="7"/>
        <v>11.81063122923588</v>
      </c>
      <c r="K43" s="88">
        <f t="shared" si="7"/>
        <v>12.794850498338871</v>
      </c>
      <c r="L43" s="88">
        <f t="shared" si="7"/>
        <v>13.779069767441861</v>
      </c>
      <c r="M43" s="88">
        <f t="shared" si="8"/>
        <v>14.763289036544851</v>
      </c>
      <c r="N43" s="88">
        <f t="shared" si="8"/>
        <v>15.747508305647841</v>
      </c>
      <c r="O43" s="88">
        <f t="shared" si="8"/>
        <v>16.73172757475083</v>
      </c>
      <c r="P43" s="88">
        <f t="shared" si="8"/>
        <v>17.71594684385382</v>
      </c>
      <c r="Q43" s="88">
        <f t="shared" si="8"/>
        <v>18.70016611295681</v>
      </c>
      <c r="R43" s="88">
        <f t="shared" si="8"/>
        <v>19.6843853820598</v>
      </c>
      <c r="S43" s="88">
        <f t="shared" si="8"/>
        <v>20.66860465116279</v>
      </c>
      <c r="T43" s="88">
        <f t="shared" si="8"/>
        <v>21.65282392026578</v>
      </c>
      <c r="U43" s="88">
        <f t="shared" si="8"/>
        <v>22.63704318936877</v>
      </c>
      <c r="V43" s="88">
        <f t="shared" si="8"/>
        <v>23.62126245847176</v>
      </c>
      <c r="W43" s="86">
        <f t="shared" si="9"/>
        <v>40</v>
      </c>
      <c r="X43" s="201"/>
    </row>
    <row r="44" spans="1:24" ht="15.75">
      <c r="A44" s="201"/>
      <c r="B44" s="86">
        <v>41</v>
      </c>
      <c r="C44" s="88">
        <f t="shared" si="7"/>
        <v>8.64192528968479</v>
      </c>
      <c r="D44" s="88">
        <f t="shared" si="7"/>
        <v>5.761283526456527</v>
      </c>
      <c r="E44" s="88">
        <f t="shared" si="7"/>
        <v>6.721497447532616</v>
      </c>
      <c r="F44" s="88">
        <f t="shared" si="7"/>
        <v>7.6817113686087035</v>
      </c>
      <c r="G44" s="88">
        <f t="shared" si="7"/>
        <v>8.64192528968479</v>
      </c>
      <c r="H44" s="88">
        <f t="shared" si="7"/>
        <v>9.602139210760878</v>
      </c>
      <c r="I44" s="88">
        <f t="shared" si="7"/>
        <v>10.562353131836968</v>
      </c>
      <c r="J44" s="88">
        <f t="shared" si="7"/>
        <v>11.522567052913054</v>
      </c>
      <c r="K44" s="88">
        <f t="shared" si="7"/>
        <v>12.482780973989142</v>
      </c>
      <c r="L44" s="88">
        <f t="shared" si="7"/>
        <v>13.442994895065231</v>
      </c>
      <c r="M44" s="88">
        <f t="shared" si="8"/>
        <v>14.403208816141317</v>
      </c>
      <c r="N44" s="88">
        <f t="shared" si="8"/>
        <v>15.363422737217407</v>
      </c>
      <c r="O44" s="88">
        <f t="shared" si="8"/>
        <v>16.32363665829349</v>
      </c>
      <c r="P44" s="88">
        <f t="shared" si="8"/>
        <v>17.28385057936958</v>
      </c>
      <c r="Q44" s="88">
        <f t="shared" si="8"/>
        <v>18.24406450044567</v>
      </c>
      <c r="R44" s="88">
        <f t="shared" si="8"/>
        <v>19.204278421521757</v>
      </c>
      <c r="S44" s="88">
        <f t="shared" si="8"/>
        <v>20.164492342597846</v>
      </c>
      <c r="T44" s="88">
        <f t="shared" si="8"/>
        <v>21.124706263673936</v>
      </c>
      <c r="U44" s="88">
        <f t="shared" si="8"/>
        <v>22.084920184750022</v>
      </c>
      <c r="V44" s="88">
        <f t="shared" si="8"/>
        <v>23.045134105826108</v>
      </c>
      <c r="W44" s="86">
        <f t="shared" si="9"/>
        <v>41</v>
      </c>
      <c r="X44" s="201"/>
    </row>
    <row r="45" spans="1:24" ht="15.75">
      <c r="A45" s="201"/>
      <c r="B45" s="86">
        <v>42</v>
      </c>
      <c r="C45" s="88">
        <f t="shared" si="7"/>
        <v>8.436165163739915</v>
      </c>
      <c r="D45" s="88">
        <f t="shared" si="7"/>
        <v>5.624110109159943</v>
      </c>
      <c r="E45" s="88">
        <f t="shared" si="7"/>
        <v>6.561461794019934</v>
      </c>
      <c r="F45" s="88">
        <f t="shared" si="7"/>
        <v>7.498813478879924</v>
      </c>
      <c r="G45" s="88">
        <f t="shared" si="7"/>
        <v>8.436165163739915</v>
      </c>
      <c r="H45" s="88">
        <f t="shared" si="7"/>
        <v>9.373516848599905</v>
      </c>
      <c r="I45" s="88">
        <f t="shared" si="7"/>
        <v>10.310868533459896</v>
      </c>
      <c r="J45" s="88">
        <f t="shared" si="7"/>
        <v>11.248220218319886</v>
      </c>
      <c r="K45" s="88">
        <f t="shared" si="7"/>
        <v>12.185571903179877</v>
      </c>
      <c r="L45" s="88">
        <f t="shared" si="7"/>
        <v>13.122923588039868</v>
      </c>
      <c r="M45" s="88">
        <f t="shared" si="8"/>
        <v>14.060275272899858</v>
      </c>
      <c r="N45" s="88">
        <f t="shared" si="8"/>
        <v>14.997626957759849</v>
      </c>
      <c r="O45" s="88">
        <f t="shared" si="8"/>
        <v>15.93497864261984</v>
      </c>
      <c r="P45" s="88">
        <f t="shared" si="8"/>
        <v>16.87233032747983</v>
      </c>
      <c r="Q45" s="88">
        <f t="shared" si="8"/>
        <v>17.80968201233982</v>
      </c>
      <c r="R45" s="88">
        <f t="shared" si="8"/>
        <v>18.74703369719981</v>
      </c>
      <c r="S45" s="88">
        <f t="shared" si="8"/>
        <v>19.6843853820598</v>
      </c>
      <c r="T45" s="88">
        <f t="shared" si="8"/>
        <v>20.621737066919792</v>
      </c>
      <c r="U45" s="88">
        <f t="shared" si="8"/>
        <v>21.559088751779786</v>
      </c>
      <c r="V45" s="88">
        <f t="shared" si="8"/>
        <v>22.496440436639773</v>
      </c>
      <c r="W45" s="86">
        <f t="shared" si="9"/>
        <v>42</v>
      </c>
      <c r="X45" s="201"/>
    </row>
    <row r="46" spans="1:24" ht="15.75">
      <c r="A46" s="201"/>
      <c r="B46" s="86">
        <v>43</v>
      </c>
      <c r="C46" s="88">
        <f t="shared" si="7"/>
        <v>8.23997527621108</v>
      </c>
      <c r="D46" s="88">
        <f t="shared" si="7"/>
        <v>5.493316850807386</v>
      </c>
      <c r="E46" s="88">
        <f t="shared" si="7"/>
        <v>6.408869659275284</v>
      </c>
      <c r="F46" s="88">
        <f t="shared" si="7"/>
        <v>7.324422467743182</v>
      </c>
      <c r="G46" s="88">
        <f t="shared" si="7"/>
        <v>8.23997527621108</v>
      </c>
      <c r="H46" s="88">
        <f t="shared" si="7"/>
        <v>9.155528084678977</v>
      </c>
      <c r="I46" s="88">
        <f t="shared" si="7"/>
        <v>10.071080893146876</v>
      </c>
      <c r="J46" s="88">
        <f t="shared" si="7"/>
        <v>10.986633701614773</v>
      </c>
      <c r="K46" s="88">
        <f t="shared" si="7"/>
        <v>11.90218651008267</v>
      </c>
      <c r="L46" s="88">
        <f t="shared" si="7"/>
        <v>12.817739318550569</v>
      </c>
      <c r="M46" s="88">
        <f t="shared" si="8"/>
        <v>13.733292127018466</v>
      </c>
      <c r="N46" s="88">
        <f t="shared" si="8"/>
        <v>14.648844935486364</v>
      </c>
      <c r="O46" s="88">
        <f t="shared" si="8"/>
        <v>15.564397743954261</v>
      </c>
      <c r="P46" s="88">
        <f t="shared" si="8"/>
        <v>16.47995055242216</v>
      </c>
      <c r="Q46" s="88">
        <f t="shared" si="8"/>
        <v>17.395503360890057</v>
      </c>
      <c r="R46" s="88">
        <f t="shared" si="8"/>
        <v>18.311056169357954</v>
      </c>
      <c r="S46" s="88">
        <f t="shared" si="8"/>
        <v>19.22660897782585</v>
      </c>
      <c r="T46" s="88">
        <f t="shared" si="8"/>
        <v>20.14216178629375</v>
      </c>
      <c r="U46" s="88">
        <f t="shared" si="8"/>
        <v>21.057714594761645</v>
      </c>
      <c r="V46" s="88">
        <f t="shared" si="8"/>
        <v>21.973267403229546</v>
      </c>
      <c r="W46" s="86">
        <f t="shared" si="9"/>
        <v>43</v>
      </c>
      <c r="X46" s="201"/>
    </row>
    <row r="47" spans="1:24" ht="15.75">
      <c r="A47" s="201"/>
      <c r="B47" s="86">
        <v>44</v>
      </c>
      <c r="C47" s="88">
        <f t="shared" si="7"/>
        <v>8.052703110842646</v>
      </c>
      <c r="D47" s="88">
        <f t="shared" si="7"/>
        <v>5.368468740561764</v>
      </c>
      <c r="E47" s="88">
        <f t="shared" si="7"/>
        <v>6.263213530655391</v>
      </c>
      <c r="F47" s="88">
        <f t="shared" si="7"/>
        <v>7.157958320749019</v>
      </c>
      <c r="G47" s="88">
        <f t="shared" si="7"/>
        <v>8.052703110842646</v>
      </c>
      <c r="H47" s="88">
        <f t="shared" si="7"/>
        <v>8.947447900936274</v>
      </c>
      <c r="I47" s="88">
        <f t="shared" si="7"/>
        <v>9.8421926910299</v>
      </c>
      <c r="J47" s="88">
        <f t="shared" si="7"/>
        <v>10.736937481123528</v>
      </c>
      <c r="K47" s="88">
        <f t="shared" si="7"/>
        <v>11.631682271217157</v>
      </c>
      <c r="L47" s="88">
        <f t="shared" si="7"/>
        <v>12.526427061310782</v>
      </c>
      <c r="M47" s="88">
        <f t="shared" si="8"/>
        <v>13.42117185140441</v>
      </c>
      <c r="N47" s="88">
        <f t="shared" si="8"/>
        <v>14.315916641498038</v>
      </c>
      <c r="O47" s="88">
        <f t="shared" si="8"/>
        <v>15.210661431591664</v>
      </c>
      <c r="P47" s="88">
        <f t="shared" si="8"/>
        <v>16.105406221685293</v>
      </c>
      <c r="Q47" s="88">
        <f t="shared" si="8"/>
        <v>17.000151011778918</v>
      </c>
      <c r="R47" s="88">
        <f t="shared" si="8"/>
        <v>17.894895801872547</v>
      </c>
      <c r="S47" s="88">
        <f t="shared" si="8"/>
        <v>18.789640591966176</v>
      </c>
      <c r="T47" s="88">
        <f t="shared" si="8"/>
        <v>19.6843853820598</v>
      </c>
      <c r="U47" s="88">
        <f t="shared" si="8"/>
        <v>20.579130172153427</v>
      </c>
      <c r="V47" s="88">
        <f t="shared" si="8"/>
        <v>21.473874962247056</v>
      </c>
      <c r="W47" s="86">
        <f t="shared" si="9"/>
        <v>44</v>
      </c>
      <c r="X47" s="201"/>
    </row>
    <row r="48" spans="1:24" ht="15.75">
      <c r="A48" s="201"/>
      <c r="B48" s="86">
        <v>45</v>
      </c>
      <c r="C48" s="88">
        <f aca="true" t="shared" si="10" ref="C48:L58">($A$4/$E$4)*(C$7/$B48)</f>
        <v>7.8737541528239205</v>
      </c>
      <c r="D48" s="88">
        <f t="shared" si="10"/>
        <v>5.249169435215947</v>
      </c>
      <c r="E48" s="88">
        <f t="shared" si="10"/>
        <v>6.124031007751938</v>
      </c>
      <c r="F48" s="88">
        <f t="shared" si="10"/>
        <v>6.998892580287929</v>
      </c>
      <c r="G48" s="88">
        <f t="shared" si="10"/>
        <v>7.8737541528239205</v>
      </c>
      <c r="H48" s="88">
        <f t="shared" si="10"/>
        <v>8.748615725359912</v>
      </c>
      <c r="I48" s="88">
        <f t="shared" si="10"/>
        <v>9.623477297895903</v>
      </c>
      <c r="J48" s="88">
        <f t="shared" si="10"/>
        <v>10.498338870431894</v>
      </c>
      <c r="K48" s="88">
        <f t="shared" si="10"/>
        <v>11.373200442967883</v>
      </c>
      <c r="L48" s="88">
        <f t="shared" si="10"/>
        <v>12.248062015503876</v>
      </c>
      <c r="M48" s="88">
        <f aca="true" t="shared" si="11" ref="M48:V58">($A$4/$E$4)*(M$7/$B48)</f>
        <v>13.122923588039868</v>
      </c>
      <c r="N48" s="88">
        <f t="shared" si="11"/>
        <v>13.997785160575859</v>
      </c>
      <c r="O48" s="88">
        <f t="shared" si="11"/>
        <v>14.87264673311185</v>
      </c>
      <c r="P48" s="88">
        <f t="shared" si="11"/>
        <v>15.747508305647841</v>
      </c>
      <c r="Q48" s="88">
        <f t="shared" si="11"/>
        <v>16.622369878183832</v>
      </c>
      <c r="R48" s="88">
        <f t="shared" si="11"/>
        <v>17.497231450719823</v>
      </c>
      <c r="S48" s="88">
        <f t="shared" si="11"/>
        <v>18.372093023255815</v>
      </c>
      <c r="T48" s="88">
        <f t="shared" si="11"/>
        <v>19.246954595791806</v>
      </c>
      <c r="U48" s="88">
        <f t="shared" si="11"/>
        <v>20.121816168327797</v>
      </c>
      <c r="V48" s="88">
        <f t="shared" si="11"/>
        <v>20.996677740863788</v>
      </c>
      <c r="W48" s="86">
        <f t="shared" si="9"/>
        <v>45</v>
      </c>
      <c r="X48" s="201"/>
    </row>
    <row r="49" spans="1:24" ht="15.75">
      <c r="A49" s="201"/>
      <c r="B49" s="86">
        <v>46</v>
      </c>
      <c r="C49" s="88">
        <f t="shared" si="10"/>
        <v>7.702585584284271</v>
      </c>
      <c r="D49" s="88">
        <f t="shared" si="10"/>
        <v>5.135057056189513</v>
      </c>
      <c r="E49" s="88">
        <f t="shared" si="10"/>
        <v>5.990899898887766</v>
      </c>
      <c r="F49" s="88">
        <f t="shared" si="10"/>
        <v>6.846742741586017</v>
      </c>
      <c r="G49" s="88">
        <f t="shared" si="10"/>
        <v>7.702585584284271</v>
      </c>
      <c r="H49" s="88">
        <f t="shared" si="10"/>
        <v>8.558428426982521</v>
      </c>
      <c r="I49" s="88">
        <f t="shared" si="10"/>
        <v>9.414271269680775</v>
      </c>
      <c r="J49" s="88">
        <f t="shared" si="10"/>
        <v>10.270114112379026</v>
      </c>
      <c r="K49" s="88">
        <f t="shared" si="10"/>
        <v>11.125956955077278</v>
      </c>
      <c r="L49" s="88">
        <f t="shared" si="10"/>
        <v>11.981799797775532</v>
      </c>
      <c r="M49" s="88">
        <f t="shared" si="11"/>
        <v>12.837642640473783</v>
      </c>
      <c r="N49" s="88">
        <f t="shared" si="11"/>
        <v>13.693485483172035</v>
      </c>
      <c r="O49" s="88">
        <f t="shared" si="11"/>
        <v>14.549328325870286</v>
      </c>
      <c r="P49" s="88">
        <f t="shared" si="11"/>
        <v>15.405171168568542</v>
      </c>
      <c r="Q49" s="88">
        <f t="shared" si="11"/>
        <v>16.26101401126679</v>
      </c>
      <c r="R49" s="88">
        <f t="shared" si="11"/>
        <v>17.116856853965043</v>
      </c>
      <c r="S49" s="88">
        <f t="shared" si="11"/>
        <v>17.972699696663295</v>
      </c>
      <c r="T49" s="88">
        <f t="shared" si="11"/>
        <v>18.82854253936155</v>
      </c>
      <c r="U49" s="88">
        <f t="shared" si="11"/>
        <v>19.6843853820598</v>
      </c>
      <c r="V49" s="88">
        <f t="shared" si="11"/>
        <v>20.540228224758053</v>
      </c>
      <c r="W49" s="86">
        <f t="shared" si="9"/>
        <v>46</v>
      </c>
      <c r="X49" s="201"/>
    </row>
    <row r="50" spans="1:24" ht="15.75">
      <c r="A50" s="201"/>
      <c r="B50" s="86">
        <v>47</v>
      </c>
      <c r="C50" s="88">
        <f t="shared" si="10"/>
        <v>7.538700784618647</v>
      </c>
      <c r="D50" s="88">
        <f t="shared" si="10"/>
        <v>5.025800523079098</v>
      </c>
      <c r="E50" s="88">
        <f t="shared" si="10"/>
        <v>5.863433943592281</v>
      </c>
      <c r="F50" s="88">
        <f t="shared" si="10"/>
        <v>6.701067364105464</v>
      </c>
      <c r="G50" s="88">
        <f t="shared" si="10"/>
        <v>7.538700784618647</v>
      </c>
      <c r="H50" s="88">
        <f t="shared" si="10"/>
        <v>8.37633420513183</v>
      </c>
      <c r="I50" s="88">
        <f t="shared" si="10"/>
        <v>9.213967625645013</v>
      </c>
      <c r="J50" s="88">
        <f t="shared" si="10"/>
        <v>10.051601046158195</v>
      </c>
      <c r="K50" s="88">
        <f t="shared" si="10"/>
        <v>10.88923446667138</v>
      </c>
      <c r="L50" s="88">
        <f t="shared" si="10"/>
        <v>11.726867887184563</v>
      </c>
      <c r="M50" s="88">
        <f t="shared" si="11"/>
        <v>12.564501307697746</v>
      </c>
      <c r="N50" s="88">
        <f t="shared" si="11"/>
        <v>13.402134728210928</v>
      </c>
      <c r="O50" s="88">
        <f t="shared" si="11"/>
        <v>14.239768148724112</v>
      </c>
      <c r="P50" s="88">
        <f t="shared" si="11"/>
        <v>15.077401569237294</v>
      </c>
      <c r="Q50" s="88">
        <f t="shared" si="11"/>
        <v>15.915034989750477</v>
      </c>
      <c r="R50" s="88">
        <f t="shared" si="11"/>
        <v>16.75266841026366</v>
      </c>
      <c r="S50" s="88">
        <f t="shared" si="11"/>
        <v>17.59030183077684</v>
      </c>
      <c r="T50" s="88">
        <f t="shared" si="11"/>
        <v>18.427935251290027</v>
      </c>
      <c r="U50" s="88">
        <f t="shared" si="11"/>
        <v>19.26556867180321</v>
      </c>
      <c r="V50" s="88">
        <f t="shared" si="11"/>
        <v>20.10320209231639</v>
      </c>
      <c r="W50" s="86">
        <f t="shared" si="9"/>
        <v>47</v>
      </c>
      <c r="X50" s="201"/>
    </row>
    <row r="51" spans="1:24" ht="15.75">
      <c r="A51" s="201"/>
      <c r="B51" s="86">
        <v>48</v>
      </c>
      <c r="C51" s="88">
        <f t="shared" si="10"/>
        <v>7.3816445182724255</v>
      </c>
      <c r="D51" s="88">
        <f t="shared" si="10"/>
        <v>4.92109634551495</v>
      </c>
      <c r="E51" s="88">
        <f t="shared" si="10"/>
        <v>5.741279069767442</v>
      </c>
      <c r="F51" s="88">
        <f t="shared" si="10"/>
        <v>6.561461794019934</v>
      </c>
      <c r="G51" s="88">
        <f t="shared" si="10"/>
        <v>7.3816445182724255</v>
      </c>
      <c r="H51" s="88">
        <f t="shared" si="10"/>
        <v>8.201827242524917</v>
      </c>
      <c r="I51" s="88">
        <f t="shared" si="10"/>
        <v>9.022009966777409</v>
      </c>
      <c r="J51" s="88">
        <f t="shared" si="10"/>
        <v>9.8421926910299</v>
      </c>
      <c r="K51" s="88">
        <f t="shared" si="10"/>
        <v>10.662375415282392</v>
      </c>
      <c r="L51" s="88">
        <f t="shared" si="10"/>
        <v>11.482558139534884</v>
      </c>
      <c r="M51" s="88">
        <f t="shared" si="11"/>
        <v>12.302740863787376</v>
      </c>
      <c r="N51" s="88">
        <f t="shared" si="11"/>
        <v>13.122923588039868</v>
      </c>
      <c r="O51" s="88">
        <f t="shared" si="11"/>
        <v>13.94310631229236</v>
      </c>
      <c r="P51" s="88">
        <f t="shared" si="11"/>
        <v>14.763289036544851</v>
      </c>
      <c r="Q51" s="88">
        <f t="shared" si="11"/>
        <v>15.583471760797343</v>
      </c>
      <c r="R51" s="88">
        <f t="shared" si="11"/>
        <v>16.403654485049834</v>
      </c>
      <c r="S51" s="88">
        <f t="shared" si="11"/>
        <v>17.223837209302324</v>
      </c>
      <c r="T51" s="88">
        <f t="shared" si="11"/>
        <v>18.044019933554818</v>
      </c>
      <c r="U51" s="88">
        <f t="shared" si="11"/>
        <v>18.86420265780731</v>
      </c>
      <c r="V51" s="88">
        <f t="shared" si="11"/>
        <v>19.6843853820598</v>
      </c>
      <c r="W51" s="86">
        <f t="shared" si="9"/>
        <v>48</v>
      </c>
      <c r="X51" s="201"/>
    </row>
    <row r="52" spans="1:24" ht="15.75">
      <c r="A52" s="201"/>
      <c r="B52" s="86">
        <v>49</v>
      </c>
      <c r="C52" s="88">
        <f t="shared" si="10"/>
        <v>7.230998711777071</v>
      </c>
      <c r="D52" s="88">
        <f t="shared" si="10"/>
        <v>4.8206658078513795</v>
      </c>
      <c r="E52" s="88">
        <f t="shared" si="10"/>
        <v>5.624110109159943</v>
      </c>
      <c r="F52" s="88">
        <f t="shared" si="10"/>
        <v>6.427554410468506</v>
      </c>
      <c r="G52" s="88">
        <f t="shared" si="10"/>
        <v>7.230998711777071</v>
      </c>
      <c r="H52" s="88">
        <f t="shared" si="10"/>
        <v>8.034443013085633</v>
      </c>
      <c r="I52" s="88">
        <f t="shared" si="10"/>
        <v>8.837887314394196</v>
      </c>
      <c r="J52" s="88">
        <f t="shared" si="10"/>
        <v>9.641331615702759</v>
      </c>
      <c r="K52" s="88">
        <f t="shared" si="10"/>
        <v>10.444775917011324</v>
      </c>
      <c r="L52" s="88">
        <f t="shared" si="10"/>
        <v>11.248220218319886</v>
      </c>
      <c r="M52" s="88">
        <f t="shared" si="11"/>
        <v>12.05166451962845</v>
      </c>
      <c r="N52" s="88">
        <f t="shared" si="11"/>
        <v>12.855108820937012</v>
      </c>
      <c r="O52" s="88">
        <f t="shared" si="11"/>
        <v>13.658553122245577</v>
      </c>
      <c r="P52" s="88">
        <f t="shared" si="11"/>
        <v>14.461997423554141</v>
      </c>
      <c r="Q52" s="88">
        <f t="shared" si="11"/>
        <v>15.265441724862702</v>
      </c>
      <c r="R52" s="88">
        <f t="shared" si="11"/>
        <v>16.068886026171267</v>
      </c>
      <c r="S52" s="88">
        <f t="shared" si="11"/>
        <v>16.87233032747983</v>
      </c>
      <c r="T52" s="88">
        <f t="shared" si="11"/>
        <v>17.675774628788393</v>
      </c>
      <c r="U52" s="88">
        <f t="shared" si="11"/>
        <v>18.47921893009696</v>
      </c>
      <c r="V52" s="88">
        <f t="shared" si="11"/>
        <v>19.282663231405518</v>
      </c>
      <c r="W52" s="86">
        <f t="shared" si="9"/>
        <v>49</v>
      </c>
      <c r="X52" s="201"/>
    </row>
    <row r="53" spans="1:24" ht="15.75">
      <c r="A53" s="201"/>
      <c r="B53" s="86">
        <v>50</v>
      </c>
      <c r="C53" s="88">
        <f t="shared" si="10"/>
        <v>7.086378737541528</v>
      </c>
      <c r="D53" s="88">
        <f t="shared" si="10"/>
        <v>4.724252491694352</v>
      </c>
      <c r="E53" s="88">
        <f t="shared" si="10"/>
        <v>5.511627906976745</v>
      </c>
      <c r="F53" s="88">
        <f t="shared" si="10"/>
        <v>6.299003322259137</v>
      </c>
      <c r="G53" s="88">
        <f t="shared" si="10"/>
        <v>7.086378737541528</v>
      </c>
      <c r="H53" s="88">
        <f t="shared" si="10"/>
        <v>7.8737541528239205</v>
      </c>
      <c r="I53" s="88">
        <f t="shared" si="10"/>
        <v>8.661129568106313</v>
      </c>
      <c r="J53" s="88">
        <f t="shared" si="10"/>
        <v>9.448504983388704</v>
      </c>
      <c r="K53" s="88">
        <f t="shared" si="10"/>
        <v>10.235880398671098</v>
      </c>
      <c r="L53" s="88">
        <f t="shared" si="10"/>
        <v>11.02325581395349</v>
      </c>
      <c r="M53" s="88">
        <f t="shared" si="11"/>
        <v>11.81063122923588</v>
      </c>
      <c r="N53" s="88">
        <f t="shared" si="11"/>
        <v>12.598006644518273</v>
      </c>
      <c r="O53" s="88">
        <f t="shared" si="11"/>
        <v>13.385382059800666</v>
      </c>
      <c r="P53" s="88">
        <f t="shared" si="11"/>
        <v>14.172757475083056</v>
      </c>
      <c r="Q53" s="88">
        <f t="shared" si="11"/>
        <v>14.960132890365449</v>
      </c>
      <c r="R53" s="88">
        <f t="shared" si="11"/>
        <v>15.747508305647841</v>
      </c>
      <c r="S53" s="88">
        <f t="shared" si="11"/>
        <v>16.53488372093023</v>
      </c>
      <c r="T53" s="88">
        <f t="shared" si="11"/>
        <v>17.322259136212626</v>
      </c>
      <c r="U53" s="88">
        <f t="shared" si="11"/>
        <v>18.109634551495017</v>
      </c>
      <c r="V53" s="88">
        <f t="shared" si="11"/>
        <v>18.897009966777407</v>
      </c>
      <c r="W53" s="86">
        <f t="shared" si="9"/>
        <v>50</v>
      </c>
      <c r="X53" s="201"/>
    </row>
    <row r="54" spans="1:24" ht="15.75">
      <c r="A54" s="201"/>
      <c r="B54" s="86">
        <v>51</v>
      </c>
      <c r="C54" s="88">
        <f t="shared" si="10"/>
        <v>6.947430134844637</v>
      </c>
      <c r="D54" s="88">
        <f t="shared" si="10"/>
        <v>4.6316200898964235</v>
      </c>
      <c r="E54" s="88">
        <f t="shared" si="10"/>
        <v>5.403556771545828</v>
      </c>
      <c r="F54" s="88">
        <f t="shared" si="10"/>
        <v>6.175493453195232</v>
      </c>
      <c r="G54" s="88">
        <f t="shared" si="10"/>
        <v>6.947430134844637</v>
      </c>
      <c r="H54" s="88">
        <f t="shared" si="10"/>
        <v>7.719366816494039</v>
      </c>
      <c r="I54" s="88">
        <f t="shared" si="10"/>
        <v>8.491303498143445</v>
      </c>
      <c r="J54" s="88">
        <f t="shared" si="10"/>
        <v>9.263240179792847</v>
      </c>
      <c r="K54" s="88">
        <f t="shared" si="10"/>
        <v>10.03517686144225</v>
      </c>
      <c r="L54" s="88">
        <f t="shared" si="10"/>
        <v>10.807113543091656</v>
      </c>
      <c r="M54" s="88">
        <f t="shared" si="11"/>
        <v>11.57905022474106</v>
      </c>
      <c r="N54" s="88">
        <f t="shared" si="11"/>
        <v>12.350986906390464</v>
      </c>
      <c r="O54" s="88">
        <f t="shared" si="11"/>
        <v>13.122923588039868</v>
      </c>
      <c r="P54" s="88">
        <f t="shared" si="11"/>
        <v>13.894860269689273</v>
      </c>
      <c r="Q54" s="88">
        <f t="shared" si="11"/>
        <v>14.666796951338675</v>
      </c>
      <c r="R54" s="88">
        <f t="shared" si="11"/>
        <v>15.438733632988079</v>
      </c>
      <c r="S54" s="88">
        <f t="shared" si="11"/>
        <v>16.210670314637483</v>
      </c>
      <c r="T54" s="88">
        <f t="shared" si="11"/>
        <v>16.98260699628689</v>
      </c>
      <c r="U54" s="88">
        <f t="shared" si="11"/>
        <v>17.75454367793629</v>
      </c>
      <c r="V54" s="88">
        <f t="shared" si="11"/>
        <v>18.526480359585694</v>
      </c>
      <c r="W54" s="86">
        <f t="shared" si="9"/>
        <v>51</v>
      </c>
      <c r="X54" s="201"/>
    </row>
    <row r="55" spans="1:24" ht="15.75">
      <c r="A55" s="201"/>
      <c r="B55" s="86">
        <v>52</v>
      </c>
      <c r="C55" s="88">
        <f t="shared" si="10"/>
        <v>6.813825709174546</v>
      </c>
      <c r="D55" s="88">
        <f t="shared" si="10"/>
        <v>4.542550472783032</v>
      </c>
      <c r="E55" s="88">
        <f t="shared" si="10"/>
        <v>5.299642218246869</v>
      </c>
      <c r="F55" s="88">
        <f t="shared" si="10"/>
        <v>6.056733963710708</v>
      </c>
      <c r="G55" s="88">
        <f t="shared" si="10"/>
        <v>6.813825709174546</v>
      </c>
      <c r="H55" s="88">
        <f t="shared" si="10"/>
        <v>7.570917454638385</v>
      </c>
      <c r="I55" s="88">
        <f t="shared" si="10"/>
        <v>8.328009200102224</v>
      </c>
      <c r="J55" s="88">
        <f t="shared" si="10"/>
        <v>9.085100945566063</v>
      </c>
      <c r="K55" s="88">
        <f t="shared" si="10"/>
        <v>9.8421926910299</v>
      </c>
      <c r="L55" s="88">
        <f t="shared" si="10"/>
        <v>10.599284436493738</v>
      </c>
      <c r="M55" s="88">
        <f t="shared" si="11"/>
        <v>11.356376181957577</v>
      </c>
      <c r="N55" s="88">
        <f t="shared" si="11"/>
        <v>12.113467927421416</v>
      </c>
      <c r="O55" s="88">
        <f t="shared" si="11"/>
        <v>12.870559672885255</v>
      </c>
      <c r="P55" s="88">
        <f t="shared" si="11"/>
        <v>13.627651418349092</v>
      </c>
      <c r="Q55" s="88">
        <f t="shared" si="11"/>
        <v>14.384743163812931</v>
      </c>
      <c r="R55" s="88">
        <f t="shared" si="11"/>
        <v>15.14183490927677</v>
      </c>
      <c r="S55" s="88">
        <f t="shared" si="11"/>
        <v>15.89892665474061</v>
      </c>
      <c r="T55" s="88">
        <f t="shared" si="11"/>
        <v>16.65601840020445</v>
      </c>
      <c r="U55" s="88">
        <f t="shared" si="11"/>
        <v>17.413110145668284</v>
      </c>
      <c r="V55" s="88">
        <f t="shared" si="11"/>
        <v>18.170201891132127</v>
      </c>
      <c r="W55" s="86">
        <f t="shared" si="9"/>
        <v>52</v>
      </c>
      <c r="X55" s="201"/>
    </row>
    <row r="56" spans="1:24" ht="15.75">
      <c r="A56" s="201"/>
      <c r="B56" s="86">
        <v>53</v>
      </c>
      <c r="C56" s="88">
        <f t="shared" si="10"/>
        <v>6.685262959944838</v>
      </c>
      <c r="D56" s="88">
        <f t="shared" si="10"/>
        <v>4.456841973296559</v>
      </c>
      <c r="E56" s="88">
        <f t="shared" si="10"/>
        <v>5.1996489688459855</v>
      </c>
      <c r="F56" s="88">
        <f t="shared" si="10"/>
        <v>5.942455964395411</v>
      </c>
      <c r="G56" s="88">
        <f t="shared" si="10"/>
        <v>6.685262959944838</v>
      </c>
      <c r="H56" s="88">
        <f t="shared" si="10"/>
        <v>7.428069955494265</v>
      </c>
      <c r="I56" s="88">
        <f t="shared" si="10"/>
        <v>8.170876951043692</v>
      </c>
      <c r="J56" s="88">
        <f t="shared" si="10"/>
        <v>8.913683946593117</v>
      </c>
      <c r="K56" s="88">
        <f t="shared" si="10"/>
        <v>9.656490942142543</v>
      </c>
      <c r="L56" s="88">
        <f t="shared" si="10"/>
        <v>10.399297937691971</v>
      </c>
      <c r="M56" s="88">
        <f t="shared" si="11"/>
        <v>11.142104933241397</v>
      </c>
      <c r="N56" s="88">
        <f t="shared" si="11"/>
        <v>11.884911928790823</v>
      </c>
      <c r="O56" s="88">
        <f t="shared" si="11"/>
        <v>12.627718924340249</v>
      </c>
      <c r="P56" s="88">
        <f t="shared" si="11"/>
        <v>13.370525919889676</v>
      </c>
      <c r="Q56" s="88">
        <f t="shared" si="11"/>
        <v>14.113332915439102</v>
      </c>
      <c r="R56" s="88">
        <f t="shared" si="11"/>
        <v>14.85613991098853</v>
      </c>
      <c r="S56" s="88">
        <f t="shared" si="11"/>
        <v>15.598946906537957</v>
      </c>
      <c r="T56" s="88">
        <f t="shared" si="11"/>
        <v>16.341753902087383</v>
      </c>
      <c r="U56" s="88">
        <f t="shared" si="11"/>
        <v>17.08456089763681</v>
      </c>
      <c r="V56" s="88">
        <f t="shared" si="11"/>
        <v>17.827367893186235</v>
      </c>
      <c r="W56" s="86">
        <f t="shared" si="9"/>
        <v>53</v>
      </c>
      <c r="X56" s="201"/>
    </row>
    <row r="57" spans="1:24" ht="15.75">
      <c r="A57" s="201"/>
      <c r="B57" s="86">
        <v>54</v>
      </c>
      <c r="C57" s="88">
        <f t="shared" si="10"/>
        <v>6.561461794019934</v>
      </c>
      <c r="D57" s="88">
        <f t="shared" si="10"/>
        <v>4.374307862679956</v>
      </c>
      <c r="E57" s="88">
        <f t="shared" si="10"/>
        <v>5.103359173126615</v>
      </c>
      <c r="F57" s="88">
        <f t="shared" si="10"/>
        <v>5.832410483573274</v>
      </c>
      <c r="G57" s="88">
        <f t="shared" si="10"/>
        <v>6.561461794019934</v>
      </c>
      <c r="H57" s="88">
        <f t="shared" si="10"/>
        <v>7.2905131044665925</v>
      </c>
      <c r="I57" s="88">
        <f t="shared" si="10"/>
        <v>8.019564414913251</v>
      </c>
      <c r="J57" s="88">
        <f t="shared" si="10"/>
        <v>8.748615725359912</v>
      </c>
      <c r="K57" s="88">
        <f t="shared" si="10"/>
        <v>9.47766703580657</v>
      </c>
      <c r="L57" s="88">
        <f t="shared" si="10"/>
        <v>10.20671834625323</v>
      </c>
      <c r="M57" s="88">
        <f t="shared" si="11"/>
        <v>10.93576965669989</v>
      </c>
      <c r="N57" s="88">
        <f t="shared" si="11"/>
        <v>11.664820967146548</v>
      </c>
      <c r="O57" s="88">
        <f t="shared" si="11"/>
        <v>12.393872277593209</v>
      </c>
      <c r="P57" s="88">
        <f t="shared" si="11"/>
        <v>13.122923588039868</v>
      </c>
      <c r="Q57" s="88">
        <f t="shared" si="11"/>
        <v>13.851974898486528</v>
      </c>
      <c r="R57" s="88">
        <f t="shared" si="11"/>
        <v>14.581026208933185</v>
      </c>
      <c r="S57" s="88">
        <f t="shared" si="11"/>
        <v>15.310077519379846</v>
      </c>
      <c r="T57" s="88">
        <f t="shared" si="11"/>
        <v>16.039128829826502</v>
      </c>
      <c r="U57" s="88">
        <f t="shared" si="11"/>
        <v>16.768180140273163</v>
      </c>
      <c r="V57" s="88">
        <f t="shared" si="11"/>
        <v>17.497231450719823</v>
      </c>
      <c r="W57" s="86">
        <f t="shared" si="9"/>
        <v>54</v>
      </c>
      <c r="X57" s="201"/>
    </row>
    <row r="58" spans="1:24" ht="15.75">
      <c r="A58" s="201"/>
      <c r="B58" s="86">
        <v>55</v>
      </c>
      <c r="C58" s="88">
        <f t="shared" si="10"/>
        <v>6.442162488674117</v>
      </c>
      <c r="D58" s="88">
        <f t="shared" si="10"/>
        <v>4.294774992449411</v>
      </c>
      <c r="E58" s="88">
        <f t="shared" si="10"/>
        <v>5.010570824524312</v>
      </c>
      <c r="F58" s="88">
        <f t="shared" si="10"/>
        <v>5.726366656599215</v>
      </c>
      <c r="G58" s="88">
        <f t="shared" si="10"/>
        <v>6.442162488674117</v>
      </c>
      <c r="H58" s="88">
        <f t="shared" si="10"/>
        <v>7.157958320749019</v>
      </c>
      <c r="I58" s="88">
        <f t="shared" si="10"/>
        <v>7.8737541528239205</v>
      </c>
      <c r="J58" s="88">
        <f t="shared" si="10"/>
        <v>8.589549984898822</v>
      </c>
      <c r="K58" s="88">
        <f t="shared" si="10"/>
        <v>9.305345816973723</v>
      </c>
      <c r="L58" s="88">
        <f t="shared" si="10"/>
        <v>10.021141649048625</v>
      </c>
      <c r="M58" s="88">
        <f t="shared" si="11"/>
        <v>10.736937481123528</v>
      </c>
      <c r="N58" s="88">
        <f t="shared" si="11"/>
        <v>11.45273331319843</v>
      </c>
      <c r="O58" s="88">
        <f t="shared" si="11"/>
        <v>12.16852914527333</v>
      </c>
      <c r="P58" s="88">
        <f t="shared" si="11"/>
        <v>12.884324977348234</v>
      </c>
      <c r="Q58" s="88">
        <f t="shared" si="11"/>
        <v>13.600120809423135</v>
      </c>
      <c r="R58" s="88">
        <f t="shared" si="11"/>
        <v>14.315916641498038</v>
      </c>
      <c r="S58" s="88">
        <f t="shared" si="11"/>
        <v>15.03171247357294</v>
      </c>
      <c r="T58" s="88">
        <f t="shared" si="11"/>
        <v>15.747508305647841</v>
      </c>
      <c r="U58" s="88">
        <f t="shared" si="11"/>
        <v>16.46330413772274</v>
      </c>
      <c r="V58" s="88">
        <f t="shared" si="11"/>
        <v>17.179099969797644</v>
      </c>
      <c r="W58" s="86">
        <f t="shared" si="9"/>
        <v>55</v>
      </c>
      <c r="X58" s="201"/>
    </row>
    <row r="59" spans="3:22" ht="15.75">
      <c r="C59" s="86">
        <f aca="true" t="shared" si="12" ref="C59:V59">C7</f>
        <v>9</v>
      </c>
      <c r="D59" s="86">
        <f t="shared" si="12"/>
        <v>6</v>
      </c>
      <c r="E59" s="86">
        <f t="shared" si="12"/>
        <v>7</v>
      </c>
      <c r="F59" s="86">
        <f t="shared" si="12"/>
        <v>8</v>
      </c>
      <c r="G59" s="86">
        <f t="shared" si="12"/>
        <v>9</v>
      </c>
      <c r="H59" s="86">
        <f t="shared" si="12"/>
        <v>10</v>
      </c>
      <c r="I59" s="86">
        <f t="shared" si="12"/>
        <v>11</v>
      </c>
      <c r="J59" s="86">
        <f t="shared" si="12"/>
        <v>12</v>
      </c>
      <c r="K59" s="86">
        <f t="shared" si="12"/>
        <v>13</v>
      </c>
      <c r="L59" s="86">
        <f t="shared" si="12"/>
        <v>14</v>
      </c>
      <c r="M59" s="86">
        <f t="shared" si="12"/>
        <v>15</v>
      </c>
      <c r="N59" s="86">
        <f t="shared" si="12"/>
        <v>16</v>
      </c>
      <c r="O59" s="86">
        <f t="shared" si="12"/>
        <v>17</v>
      </c>
      <c r="P59" s="86">
        <f t="shared" si="12"/>
        <v>18</v>
      </c>
      <c r="Q59" s="86">
        <f t="shared" si="12"/>
        <v>19</v>
      </c>
      <c r="R59" s="86">
        <f t="shared" si="12"/>
        <v>20</v>
      </c>
      <c r="S59" s="86">
        <f t="shared" si="12"/>
        <v>21</v>
      </c>
      <c r="T59" s="86">
        <f t="shared" si="12"/>
        <v>22</v>
      </c>
      <c r="U59" s="86">
        <f t="shared" si="12"/>
        <v>23</v>
      </c>
      <c r="V59" s="86">
        <f t="shared" si="12"/>
        <v>24</v>
      </c>
    </row>
    <row r="60" spans="3:22" ht="15.75">
      <c r="C60" s="200" t="s">
        <v>59</v>
      </c>
      <c r="D60" s="200"/>
      <c r="E60" s="200"/>
      <c r="F60" s="200"/>
      <c r="G60" s="200"/>
      <c r="H60" s="200"/>
      <c r="I60" s="200"/>
      <c r="J60" s="200"/>
      <c r="K60" s="200"/>
      <c r="L60" s="200"/>
      <c r="M60" s="200"/>
      <c r="N60" s="200"/>
      <c r="O60" s="200"/>
      <c r="P60" s="200"/>
      <c r="Q60" s="200"/>
      <c r="R60" s="200"/>
      <c r="S60" s="200"/>
      <c r="T60" s="200"/>
      <c r="U60" s="200"/>
      <c r="V60" s="200"/>
    </row>
    <row r="62" spans="1:28" s="16" customFormat="1" ht="15.75">
      <c r="A62" s="16" t="s">
        <v>14</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row>
    <row r="63" spans="1:28" s="16" customFormat="1" ht="15.75">
      <c r="A63" s="16" t="s">
        <v>15</v>
      </c>
      <c r="B63"/>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row>
  </sheetData>
  <sheetProtection password="83AF" sheet="1" objects="1" scenarios="1"/>
  <mergeCells count="4">
    <mergeCell ref="C6:V6"/>
    <mergeCell ref="A8:A58"/>
    <mergeCell ref="X8:X58"/>
    <mergeCell ref="C60:V60"/>
  </mergeCells>
  <hyperlinks>
    <hyperlink ref="A63" r:id="rId1" display="Please send comments or suggestions to risingedgeservices@gmail.com"/>
  </hyperlinks>
  <printOptions/>
  <pageMargins left="0.7" right="0.7" top="0.75" bottom="0.75" header="0.5118055555555555" footer="0.5118055555555555"/>
  <pageSetup horizontalDpi="300" verticalDpi="300" orientation="portrait" scale="57"/>
</worksheet>
</file>

<file path=xl/worksheets/sheet7.xml><?xml version="1.0" encoding="utf-8"?>
<worksheet xmlns="http://schemas.openxmlformats.org/spreadsheetml/2006/main" xmlns:r="http://schemas.openxmlformats.org/officeDocument/2006/relationships">
  <sheetPr>
    <pageSetUpPr fitToPage="1"/>
  </sheetPr>
  <dimension ref="A1:AB57"/>
  <sheetViews>
    <sheetView zoomScalePageLayoutView="0" workbookViewId="0" topLeftCell="A10">
      <selection activeCell="B10" sqref="B10"/>
    </sheetView>
  </sheetViews>
  <sheetFormatPr defaultColWidth="8.796875" defaultRowHeight="15"/>
  <cols>
    <col min="1" max="1" width="10.69921875" style="69" customWidth="1"/>
    <col min="2" max="2" width="34.8984375" style="69" customWidth="1"/>
    <col min="3" max="3" width="13.09765625" style="69" customWidth="1"/>
    <col min="4" max="4" width="26.3984375" style="69" customWidth="1"/>
    <col min="5" max="16384" width="8.796875" style="81" customWidth="1"/>
  </cols>
  <sheetData>
    <row r="1" spans="1:4" ht="15">
      <c r="A1" s="202" t="s">
        <v>61</v>
      </c>
      <c r="B1" s="202"/>
      <c r="C1" s="67"/>
      <c r="D1" s="67"/>
    </row>
    <row r="2" spans="1:4" ht="15">
      <c r="A2" s="67"/>
      <c r="B2" s="67"/>
      <c r="C2" s="67"/>
      <c r="D2" s="67"/>
    </row>
    <row r="3" spans="1:4" ht="15">
      <c r="A3" s="90" t="s">
        <v>62</v>
      </c>
      <c r="B3" s="67"/>
      <c r="C3" s="67"/>
      <c r="D3" s="67"/>
    </row>
    <row r="4" spans="1:4" ht="15.75">
      <c r="A4" s="91">
        <v>47</v>
      </c>
      <c r="B4" s="92" t="s">
        <v>25</v>
      </c>
      <c r="C4" s="68"/>
      <c r="D4" s="68"/>
    </row>
    <row r="5" spans="1:4" ht="15.75">
      <c r="A5" s="91">
        <v>12</v>
      </c>
      <c r="B5" s="92" t="s">
        <v>26</v>
      </c>
      <c r="C5" s="68"/>
      <c r="D5" s="68"/>
    </row>
    <row r="6" spans="1:4" ht="15.75">
      <c r="A6" s="93">
        <v>1170</v>
      </c>
      <c r="B6" s="94" t="s">
        <v>63</v>
      </c>
      <c r="C6" s="68"/>
      <c r="D6" s="68"/>
    </row>
    <row r="7" spans="1:4" ht="15.75">
      <c r="A7" s="91">
        <v>640000</v>
      </c>
      <c r="B7" s="92" t="s">
        <v>64</v>
      </c>
      <c r="C7" s="68"/>
      <c r="D7" s="68"/>
    </row>
    <row r="8" spans="1:4" ht="15.75">
      <c r="A8" s="91">
        <v>30.12</v>
      </c>
      <c r="B8" s="92" t="s">
        <v>65</v>
      </c>
      <c r="C8" s="68"/>
      <c r="D8" s="68"/>
    </row>
    <row r="9" spans="1:4" ht="15.75">
      <c r="A9" s="95">
        <f>A4/A5</f>
        <v>3.9166666666666665</v>
      </c>
      <c r="B9" s="96" t="s">
        <v>21</v>
      </c>
      <c r="C9" s="68"/>
      <c r="D9" s="68"/>
    </row>
    <row r="10" spans="1:4" ht="15.75">
      <c r="A10" s="97">
        <f>A12/A9</f>
        <v>452.09233986041653</v>
      </c>
      <c r="B10" s="92" t="s">
        <v>66</v>
      </c>
      <c r="C10" s="68"/>
      <c r="D10" s="68"/>
    </row>
    <row r="11" spans="1:4" ht="15.75">
      <c r="A11" s="97">
        <f>A10*12</f>
        <v>5425.108078324998</v>
      </c>
      <c r="B11" s="92" t="s">
        <v>67</v>
      </c>
      <c r="C11" s="68"/>
      <c r="D11" s="68"/>
    </row>
    <row r="12" spans="1:4" ht="15.75">
      <c r="A12" s="97">
        <f>A13/12</f>
        <v>1770.6949977866313</v>
      </c>
      <c r="B12" s="92" t="s">
        <v>68</v>
      </c>
      <c r="C12" s="68"/>
      <c r="D12" s="68"/>
    </row>
    <row r="13" spans="1:4" ht="15.75">
      <c r="A13" s="97">
        <f>A7/A8</f>
        <v>21248.339973439575</v>
      </c>
      <c r="B13" s="92" t="s">
        <v>69</v>
      </c>
      <c r="C13" s="68"/>
      <c r="D13" s="68"/>
    </row>
    <row r="14" spans="1:4" ht="15.75">
      <c r="A14" s="97">
        <f>A6/A9</f>
        <v>298.72340425531917</v>
      </c>
      <c r="B14" s="92" t="s">
        <v>70</v>
      </c>
      <c r="C14" s="68"/>
      <c r="D14" s="68"/>
    </row>
    <row r="15" spans="1:4" ht="15.75">
      <c r="A15" s="97">
        <f>A9*A8</f>
        <v>117.97</v>
      </c>
      <c r="B15" s="92" t="s">
        <v>71</v>
      </c>
      <c r="C15" s="68"/>
      <c r="D15" s="68"/>
    </row>
    <row r="16" spans="1:4" ht="15.75">
      <c r="A16" s="95">
        <f>A14/A8</f>
        <v>9.917775705687887</v>
      </c>
      <c r="B16" s="96" t="s">
        <v>72</v>
      </c>
      <c r="C16" s="68"/>
      <c r="D16" s="68"/>
    </row>
    <row r="17" spans="1:4" ht="15.75">
      <c r="A17" s="98">
        <f>(PI()*A5*A6)/12</f>
        <v>3675.6634047000575</v>
      </c>
      <c r="B17" s="56" t="s">
        <v>73</v>
      </c>
      <c r="C17" s="68"/>
      <c r="D17" s="68"/>
    </row>
    <row r="18" spans="1:4" ht="15.75">
      <c r="A18" s="97">
        <f>(A10*A6)/5252</f>
        <v>100.71364006791458</v>
      </c>
      <c r="B18" s="92" t="s">
        <v>74</v>
      </c>
      <c r="C18" s="68"/>
      <c r="D18" s="68"/>
    </row>
    <row r="19" spans="1:4" ht="15.75">
      <c r="A19" s="99">
        <v>1.15</v>
      </c>
      <c r="B19" s="92" t="s">
        <v>75</v>
      </c>
      <c r="C19" s="68"/>
      <c r="D19" s="68"/>
    </row>
    <row r="20" spans="1:4" ht="15.75">
      <c r="A20" s="57">
        <f>A18*(1/A19)</f>
        <v>87.57707831992573</v>
      </c>
      <c r="B20" s="100" t="s">
        <v>76</v>
      </c>
      <c r="C20" s="68"/>
      <c r="D20" s="68"/>
    </row>
    <row r="21" spans="1:4" ht="15.75">
      <c r="A21" s="101"/>
      <c r="B21" s="67"/>
      <c r="C21" s="67"/>
      <c r="D21" s="68"/>
    </row>
    <row r="22" spans="1:4" ht="15">
      <c r="A22" s="90" t="s">
        <v>77</v>
      </c>
      <c r="B22" s="65"/>
      <c r="C22" s="65"/>
      <c r="D22" s="67"/>
    </row>
    <row r="23" spans="1:4" ht="15.75">
      <c r="A23" s="102" t="s">
        <v>78</v>
      </c>
      <c r="B23" s="68"/>
      <c r="C23" s="67"/>
      <c r="D23" s="67"/>
    </row>
    <row r="24" spans="1:4" ht="15.75">
      <c r="A24" s="103">
        <v>28.46</v>
      </c>
      <c r="B24" s="100" t="s">
        <v>79</v>
      </c>
      <c r="C24" s="68"/>
      <c r="D24" s="102" t="s">
        <v>7</v>
      </c>
    </row>
    <row r="25" spans="1:4" ht="15">
      <c r="A25" s="103">
        <v>1.5</v>
      </c>
      <c r="B25" s="104" t="s">
        <v>80</v>
      </c>
      <c r="C25" s="67"/>
      <c r="D25" s="67"/>
    </row>
    <row r="26" spans="1:4" ht="15">
      <c r="A26" s="103">
        <v>1.9</v>
      </c>
      <c r="B26" s="104" t="s">
        <v>81</v>
      </c>
      <c r="C26" s="67"/>
      <c r="D26" s="67"/>
    </row>
    <row r="27" spans="1:4" ht="15">
      <c r="A27" s="105">
        <v>0.9</v>
      </c>
      <c r="B27" s="104" t="s">
        <v>82</v>
      </c>
      <c r="C27" s="102" t="s">
        <v>7</v>
      </c>
      <c r="D27" s="67"/>
    </row>
    <row r="28" spans="1:4" ht="15">
      <c r="A28" s="103">
        <v>0.92</v>
      </c>
      <c r="B28" s="104" t="s">
        <v>83</v>
      </c>
      <c r="C28" s="67"/>
      <c r="D28" s="67"/>
    </row>
    <row r="29" spans="1:4" ht="15">
      <c r="A29" s="104">
        <f>A24*2</f>
        <v>56.92</v>
      </c>
      <c r="B29" s="104" t="s">
        <v>84</v>
      </c>
      <c r="C29" s="67"/>
      <c r="D29" s="67"/>
    </row>
    <row r="30" spans="1:4" ht="15">
      <c r="A30" s="104">
        <f>A24*3</f>
        <v>85.38</v>
      </c>
      <c r="B30" s="104" t="s">
        <v>85</v>
      </c>
      <c r="C30" s="67"/>
      <c r="D30" s="67"/>
    </row>
    <row r="31" spans="1:4" ht="15">
      <c r="A31" s="106">
        <f>(A24*A25)/(A27*A28)</f>
        <v>51.55797101449274</v>
      </c>
      <c r="B31" s="104" t="s">
        <v>86</v>
      </c>
      <c r="C31" s="67"/>
      <c r="D31" s="67"/>
    </row>
    <row r="32" spans="1:4" ht="15">
      <c r="A32" s="57">
        <f>(A24*A26)/(A27*A28)</f>
        <v>65.30676328502415</v>
      </c>
      <c r="B32" s="100" t="s">
        <v>87</v>
      </c>
      <c r="C32" s="67"/>
      <c r="D32" s="67"/>
    </row>
    <row r="33" spans="1:4" ht="15">
      <c r="A33" s="67"/>
      <c r="B33" s="67"/>
      <c r="C33" s="67"/>
      <c r="D33" s="67"/>
    </row>
    <row r="34" spans="1:4" ht="15">
      <c r="A34" s="90" t="s">
        <v>88</v>
      </c>
      <c r="B34" s="67"/>
      <c r="C34" s="67"/>
      <c r="D34" s="67"/>
    </row>
    <row r="35" spans="1:4" ht="15">
      <c r="A35" s="102" t="s">
        <v>89</v>
      </c>
      <c r="B35" s="102" t="s">
        <v>90</v>
      </c>
      <c r="C35" s="67"/>
      <c r="D35" s="67"/>
    </row>
    <row r="36" spans="1:4" ht="15">
      <c r="A36" s="102" t="s">
        <v>91</v>
      </c>
      <c r="B36" s="102" t="s">
        <v>92</v>
      </c>
      <c r="C36" s="67"/>
      <c r="D36" s="67"/>
    </row>
    <row r="37" spans="1:4" ht="15">
      <c r="A37" s="103">
        <v>276</v>
      </c>
      <c r="B37" s="104" t="s">
        <v>93</v>
      </c>
      <c r="C37" s="67"/>
      <c r="D37" s="67"/>
    </row>
    <row r="38" spans="1:4" ht="15">
      <c r="A38" s="103">
        <v>10500</v>
      </c>
      <c r="B38" s="104" t="s">
        <v>94</v>
      </c>
      <c r="C38" s="67"/>
      <c r="D38" s="67"/>
    </row>
    <row r="39" spans="1:4" ht="15">
      <c r="A39" s="107">
        <f>(A37*A38)/56000</f>
        <v>51.75</v>
      </c>
      <c r="B39" s="104" t="s">
        <v>95</v>
      </c>
      <c r="C39" s="67"/>
      <c r="D39" s="67"/>
    </row>
    <row r="40" spans="1:4" ht="15">
      <c r="A40" s="107">
        <f>(A37*A38)/45000</f>
        <v>64.4</v>
      </c>
      <c r="B40" s="104" t="s">
        <v>96</v>
      </c>
      <c r="C40" s="67"/>
      <c r="D40" s="67"/>
    </row>
    <row r="41" spans="1:4" ht="15">
      <c r="A41" s="105">
        <v>1.25</v>
      </c>
      <c r="B41" s="104" t="s">
        <v>97</v>
      </c>
      <c r="C41" s="67"/>
      <c r="D41" s="67"/>
    </row>
    <row r="42" spans="1:4" s="109" customFormat="1" ht="15">
      <c r="A42" s="108">
        <f>A39*A41</f>
        <v>64.6875</v>
      </c>
      <c r="B42" s="100" t="s">
        <v>98</v>
      </c>
      <c r="C42" s="54"/>
      <c r="D42" s="54"/>
    </row>
    <row r="43" spans="1:4" s="109" customFormat="1" ht="15">
      <c r="A43" s="108">
        <f>A40*A41</f>
        <v>80.5</v>
      </c>
      <c r="B43" s="100" t="s">
        <v>99</v>
      </c>
      <c r="C43" s="54"/>
      <c r="D43" s="54"/>
    </row>
    <row r="44" spans="1:4" ht="15.75">
      <c r="A44" s="49"/>
      <c r="C44" s="67"/>
      <c r="D44" s="67"/>
    </row>
    <row r="45" spans="1:28" s="16" customFormat="1" ht="15.75">
      <c r="A45" s="16" t="s">
        <v>14</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row>
    <row r="46" spans="1:28" s="16" customFormat="1" ht="15.75">
      <c r="A46" s="16" t="s">
        <v>15</v>
      </c>
      <c r="B4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row>
    <row r="54" spans="1:4" ht="15.75">
      <c r="A54" s="110"/>
      <c r="B54" s="111"/>
      <c r="C54" s="67"/>
      <c r="D54" s="67"/>
    </row>
    <row r="55" spans="1:4" ht="15.75">
      <c r="A55" s="110"/>
      <c r="B55" s="111"/>
      <c r="C55" s="67"/>
      <c r="D55" s="67"/>
    </row>
    <row r="56" spans="1:4" ht="15.75">
      <c r="A56" s="110"/>
      <c r="B56" s="111"/>
      <c r="C56" s="67"/>
      <c r="D56" s="67"/>
    </row>
    <row r="57" spans="1:4" ht="15.75">
      <c r="A57" s="110"/>
      <c r="B57" s="111"/>
      <c r="C57" s="67"/>
      <c r="D57" s="67"/>
    </row>
  </sheetData>
  <sheetProtection password="83AF" sheet="1" objects="1" scenarios="1"/>
  <mergeCells count="1">
    <mergeCell ref="A1:B1"/>
  </mergeCells>
  <hyperlinks>
    <hyperlink ref="A46" r:id="rId1" display="Please send comments or suggestions to risingedgeservices@gmail.com"/>
  </hyperlinks>
  <printOptions verticalCentered="1"/>
  <pageMargins left="0.2" right="0.2" top="0" bottom="0"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1:AB31"/>
  <sheetViews>
    <sheetView zoomScalePageLayoutView="0" workbookViewId="0" topLeftCell="A1">
      <selection activeCell="E4" sqref="E4"/>
    </sheetView>
  </sheetViews>
  <sheetFormatPr defaultColWidth="8.796875" defaultRowHeight="15"/>
  <cols>
    <col min="1" max="1" width="8.796875" style="112" customWidth="1"/>
    <col min="2" max="2" width="13.8984375" style="112" customWidth="1"/>
    <col min="3" max="3" width="11.8984375" style="113" customWidth="1"/>
    <col min="4" max="5" width="6.19921875" style="113" customWidth="1"/>
    <col min="6" max="13" width="6.19921875" style="112" customWidth="1"/>
    <col min="14" max="16384" width="8.796875" style="112" customWidth="1"/>
  </cols>
  <sheetData>
    <row r="1" spans="1:2" ht="12.75">
      <c r="A1" s="114" t="s">
        <v>100</v>
      </c>
      <c r="B1" s="115"/>
    </row>
    <row r="2" spans="1:2" ht="12.75">
      <c r="A2" s="116">
        <v>49</v>
      </c>
      <c r="B2" s="117" t="s">
        <v>25</v>
      </c>
    </row>
    <row r="3" spans="1:2" ht="12.75">
      <c r="A3" s="116">
        <v>9</v>
      </c>
      <c r="B3" s="117" t="s">
        <v>26</v>
      </c>
    </row>
    <row r="4" spans="1:2" ht="12.75">
      <c r="A4" s="118">
        <v>1185</v>
      </c>
      <c r="B4" s="119" t="s">
        <v>63</v>
      </c>
    </row>
    <row r="5" spans="1:2" ht="12.75">
      <c r="A5" s="116">
        <v>30</v>
      </c>
      <c r="B5" s="117" t="s">
        <v>65</v>
      </c>
    </row>
    <row r="7" ht="12.75">
      <c r="A7" s="120" t="s">
        <v>101</v>
      </c>
    </row>
    <row r="8" spans="2:5" ht="12.75" customHeight="1">
      <c r="B8" s="203" t="s">
        <v>102</v>
      </c>
      <c r="C8" s="203"/>
      <c r="E8" s="112"/>
    </row>
    <row r="9" spans="1:5" s="124" customFormat="1" ht="25.5">
      <c r="A9" s="121" t="s">
        <v>103</v>
      </c>
      <c r="B9" s="122" t="s">
        <v>104</v>
      </c>
      <c r="C9" s="122" t="s">
        <v>105</v>
      </c>
      <c r="D9" s="121" t="s">
        <v>106</v>
      </c>
      <c r="E9" s="123" t="s">
        <v>107</v>
      </c>
    </row>
    <row r="10" spans="1:5" ht="12.75">
      <c r="A10" s="125">
        <v>57</v>
      </c>
      <c r="B10" s="126">
        <f aca="true" t="shared" si="0" ref="B10:B18">(((((($A10*1000)/$A$5)/12)/($A$2/$A$3))*$A$4)/5252)*(1/1.15)</f>
        <v>5.705774147136918</v>
      </c>
      <c r="C10" s="126">
        <f>(((((($A10*1000)/$A$5)/12)/($A$2/$A$3))*$A$4)/5252)*(1/1.25)</f>
        <v>5.249312215365964</v>
      </c>
      <c r="D10" s="127">
        <v>10</v>
      </c>
      <c r="E10" s="128">
        <v>10</v>
      </c>
    </row>
    <row r="11" spans="1:5" ht="12.75">
      <c r="A11" s="125">
        <v>80</v>
      </c>
      <c r="B11" s="126">
        <f t="shared" si="0"/>
        <v>8.008104066157076</v>
      </c>
      <c r="C11" s="126">
        <f aca="true" t="shared" si="1" ref="C11:C20">(((((($A11*1000)/$A$5)/12)/($A$2/$A$3))*$A$4)/5252)*(1/1.25)</f>
        <v>7.367455740864509</v>
      </c>
      <c r="D11" s="127">
        <v>10</v>
      </c>
      <c r="E11" s="128">
        <v>10</v>
      </c>
    </row>
    <row r="12" spans="1:5" ht="12.75">
      <c r="A12" s="125">
        <v>114</v>
      </c>
      <c r="B12" s="126">
        <f t="shared" si="0"/>
        <v>11.411548294273835</v>
      </c>
      <c r="C12" s="126">
        <f t="shared" si="1"/>
        <v>10.498624430731928</v>
      </c>
      <c r="D12" s="127">
        <v>15</v>
      </c>
      <c r="E12" s="128">
        <v>15</v>
      </c>
    </row>
    <row r="13" spans="1:5" ht="12.75">
      <c r="A13" s="125">
        <v>160</v>
      </c>
      <c r="B13" s="126">
        <f t="shared" si="0"/>
        <v>16.01620813231415</v>
      </c>
      <c r="C13" s="126">
        <f t="shared" si="1"/>
        <v>14.734911481729018</v>
      </c>
      <c r="D13" s="127">
        <v>20</v>
      </c>
      <c r="E13" s="128">
        <v>20</v>
      </c>
    </row>
    <row r="14" spans="1:5" ht="12.75">
      <c r="A14" s="125">
        <v>228</v>
      </c>
      <c r="B14" s="126">
        <f t="shared" si="0"/>
        <v>22.82309658854767</v>
      </c>
      <c r="C14" s="126">
        <f t="shared" si="1"/>
        <v>20.997248861463856</v>
      </c>
      <c r="D14" s="127">
        <v>30</v>
      </c>
      <c r="E14" s="128">
        <v>30</v>
      </c>
    </row>
    <row r="15" spans="1:5" ht="12.75">
      <c r="A15" s="125">
        <v>320</v>
      </c>
      <c r="B15" s="126">
        <f t="shared" si="0"/>
        <v>32.0324162646283</v>
      </c>
      <c r="C15" s="126">
        <f t="shared" si="1"/>
        <v>29.469822963458036</v>
      </c>
      <c r="D15" s="127">
        <v>40</v>
      </c>
      <c r="E15" s="128">
        <v>40</v>
      </c>
    </row>
    <row r="16" spans="1:5" ht="12.75">
      <c r="A16" s="125">
        <v>456</v>
      </c>
      <c r="B16" s="126">
        <f t="shared" si="0"/>
        <v>45.64619317709534</v>
      </c>
      <c r="C16" s="126">
        <f t="shared" si="1"/>
        <v>41.99449772292771</v>
      </c>
      <c r="D16" s="127">
        <v>50</v>
      </c>
      <c r="E16" s="128">
        <v>60</v>
      </c>
    </row>
    <row r="17" spans="1:5" ht="12.75">
      <c r="A17" s="125">
        <v>640</v>
      </c>
      <c r="B17" s="126">
        <f t="shared" si="0"/>
        <v>64.0648325292566</v>
      </c>
      <c r="C17" s="126">
        <f t="shared" si="1"/>
        <v>58.93964592691607</v>
      </c>
      <c r="D17" s="127">
        <v>60</v>
      </c>
      <c r="E17" s="128">
        <v>75</v>
      </c>
    </row>
    <row r="18" spans="1:5" ht="12.75">
      <c r="A18" s="125">
        <v>912</v>
      </c>
      <c r="B18" s="126">
        <f t="shared" si="0"/>
        <v>91.29238635419068</v>
      </c>
      <c r="C18" s="126">
        <f t="shared" si="1"/>
        <v>83.98899544585542</v>
      </c>
      <c r="D18" s="127"/>
      <c r="E18" s="128" t="s">
        <v>108</v>
      </c>
    </row>
    <row r="19" spans="1:5" ht="12.75">
      <c r="A19" s="125">
        <v>1280</v>
      </c>
      <c r="B19" s="126">
        <f>(((((($A19*1000)/$A$5)/12)/($A$2/$A$3))*$A$4)/5252)*(1/1.15)</f>
        <v>128.1296650585132</v>
      </c>
      <c r="C19" s="126">
        <f t="shared" si="1"/>
        <v>117.87929185383214</v>
      </c>
      <c r="D19" s="127"/>
      <c r="E19" s="128">
        <v>150</v>
      </c>
    </row>
    <row r="20" spans="1:5" ht="12.75">
      <c r="A20" s="129">
        <v>912</v>
      </c>
      <c r="B20" s="126">
        <f>(((((($A20*1000)/$A$5)/12)/($A$2/$A$3))*$A$4)/5252)*(1/1.15)</f>
        <v>91.29238635419068</v>
      </c>
      <c r="C20" s="126">
        <f t="shared" si="1"/>
        <v>83.98899544585542</v>
      </c>
      <c r="D20" s="127"/>
      <c r="E20" s="128"/>
    </row>
    <row r="21" spans="1:2" ht="12.75">
      <c r="A21" s="130"/>
      <c r="B21" s="131" t="s">
        <v>7</v>
      </c>
    </row>
    <row r="22" spans="1:13" ht="12.75">
      <c r="A22" s="132" t="s">
        <v>109</v>
      </c>
      <c r="B22" s="131"/>
      <c r="D22" s="133"/>
      <c r="E22" s="133"/>
      <c r="F22" s="133"/>
      <c r="G22" s="133"/>
      <c r="H22" s="133"/>
      <c r="I22" s="133"/>
      <c r="J22" s="133"/>
      <c r="K22" s="133"/>
      <c r="L22" s="133"/>
      <c r="M22" s="133"/>
    </row>
    <row r="23" spans="1:13" ht="12.75">
      <c r="A23" s="132"/>
      <c r="B23" s="134" t="s">
        <v>102</v>
      </c>
      <c r="D23" s="204" t="s">
        <v>110</v>
      </c>
      <c r="E23" s="204"/>
      <c r="F23" s="204"/>
      <c r="G23" s="204"/>
      <c r="H23" s="204"/>
      <c r="I23" s="204"/>
      <c r="J23" s="204"/>
      <c r="K23" s="204"/>
      <c r="L23" s="204"/>
      <c r="M23" s="204"/>
    </row>
    <row r="24" spans="1:14" s="124" customFormat="1" ht="25.5">
      <c r="A24" s="135" t="s">
        <v>103</v>
      </c>
      <c r="B24" s="122" t="s">
        <v>104</v>
      </c>
      <c r="C24" s="136" t="s">
        <v>107</v>
      </c>
      <c r="D24" s="121" t="s">
        <v>111</v>
      </c>
      <c r="E24" s="121" t="s">
        <v>112</v>
      </c>
      <c r="F24" s="137" t="s">
        <v>113</v>
      </c>
      <c r="G24" s="121" t="s">
        <v>29</v>
      </c>
      <c r="H24" s="121" t="s">
        <v>114</v>
      </c>
      <c r="I24" s="121" t="s">
        <v>115</v>
      </c>
      <c r="J24" s="121" t="s">
        <v>116</v>
      </c>
      <c r="K24" s="121" t="s">
        <v>10</v>
      </c>
      <c r="L24" s="121" t="s">
        <v>117</v>
      </c>
      <c r="M24" s="121" t="s">
        <v>118</v>
      </c>
      <c r="N24" s="138"/>
    </row>
    <row r="25" spans="1:14" ht="12.75">
      <c r="A25" s="139">
        <v>900</v>
      </c>
      <c r="B25" s="126">
        <f>(((((($A25*1000)/$A$5)/12)/($A$2/$A$3))*$A$4)/5252)*(1/1.15)</f>
        <v>90.09117074426712</v>
      </c>
      <c r="C25" s="140">
        <v>100</v>
      </c>
      <c r="D25" s="128">
        <v>75</v>
      </c>
      <c r="E25" s="125">
        <v>14</v>
      </c>
      <c r="F25" s="125">
        <v>20</v>
      </c>
      <c r="G25" s="125">
        <v>1125</v>
      </c>
      <c r="H25" s="128">
        <v>31.07</v>
      </c>
      <c r="I25" s="128">
        <v>5.9</v>
      </c>
      <c r="J25" s="141">
        <f>H25*I25</f>
        <v>183.31300000000002</v>
      </c>
      <c r="K25" s="141">
        <v>4.5</v>
      </c>
      <c r="L25" s="128">
        <v>4.29</v>
      </c>
      <c r="M25" s="125">
        <v>288</v>
      </c>
      <c r="N25" s="113"/>
    </row>
    <row r="26" spans="1:14" ht="12.75">
      <c r="A26" s="139">
        <v>1100</v>
      </c>
      <c r="B26" s="126">
        <f>(((((($A26*1000)/$A$5)/12)/($A$2/$A$3))*$A$4)/5252)*(1/1.15)</f>
        <v>110.1114309096598</v>
      </c>
      <c r="C26" s="140">
        <v>125</v>
      </c>
      <c r="D26" s="128">
        <v>100</v>
      </c>
      <c r="E26" s="125">
        <v>14</v>
      </c>
      <c r="F26" s="125">
        <v>20</v>
      </c>
      <c r="G26" s="125">
        <v>1160</v>
      </c>
      <c r="H26" s="128">
        <v>31.07</v>
      </c>
      <c r="I26" s="128">
        <v>6.2</v>
      </c>
      <c r="J26" s="141">
        <f>H26*I26</f>
        <v>192.63400000000001</v>
      </c>
      <c r="K26" s="141">
        <v>4.3</v>
      </c>
      <c r="L26" s="128">
        <v>4.22</v>
      </c>
      <c r="M26" s="125">
        <v>306</v>
      </c>
      <c r="N26" s="113"/>
    </row>
    <row r="27" spans="1:14" ht="12.75">
      <c r="A27" s="139">
        <v>1150</v>
      </c>
      <c r="B27" s="126">
        <f>(((((($A27*1000)/$A$5)/12)/($A$2/$A$3))*$A$4)/5252)*(1/1.15)</f>
        <v>115.11649595100799</v>
      </c>
      <c r="C27" s="140">
        <v>150</v>
      </c>
      <c r="D27" s="128">
        <v>125</v>
      </c>
      <c r="E27" s="125">
        <v>14</v>
      </c>
      <c r="F27" s="125">
        <v>20</v>
      </c>
      <c r="G27" s="125">
        <v>1160</v>
      </c>
      <c r="H27" s="128">
        <v>31.07</v>
      </c>
      <c r="I27" s="128">
        <v>7.3</v>
      </c>
      <c r="J27" s="141">
        <f>H27*I27</f>
        <v>226.811</v>
      </c>
      <c r="K27" s="141">
        <v>3.56</v>
      </c>
      <c r="L27" s="128">
        <v>3.64</v>
      </c>
      <c r="M27" s="125">
        <v>366</v>
      </c>
      <c r="N27" s="113"/>
    </row>
    <row r="28" spans="1:14" ht="12.75">
      <c r="A28" s="139">
        <v>1151</v>
      </c>
      <c r="B28" s="126">
        <f>(((((($A28*1000)/$A$5)/12)/($A$2/$A$3))*$A$4)/5252)*(1/1.15)</f>
        <v>115.21659725183493</v>
      </c>
      <c r="C28" s="140">
        <v>150</v>
      </c>
      <c r="D28" s="128">
        <v>150</v>
      </c>
      <c r="E28" s="125">
        <v>13</v>
      </c>
      <c r="F28" s="125">
        <v>20</v>
      </c>
      <c r="G28" s="125">
        <v>1160</v>
      </c>
      <c r="H28" s="128">
        <v>30.99</v>
      </c>
      <c r="I28" s="128">
        <v>6.8</v>
      </c>
      <c r="J28" s="141">
        <f>H28*I28</f>
        <v>210.73199999999997</v>
      </c>
      <c r="K28" s="141">
        <v>3.59</v>
      </c>
      <c r="L28" s="128">
        <v>3.75</v>
      </c>
      <c r="M28" s="125">
        <v>366</v>
      </c>
      <c r="N28" s="113"/>
    </row>
    <row r="30" spans="1:28" s="16" customFormat="1" ht="15.75">
      <c r="A30" s="16" t="s">
        <v>14</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row>
    <row r="31" spans="1:28" s="16" customFormat="1" ht="15.75">
      <c r="A31" s="16" t="s">
        <v>15</v>
      </c>
      <c r="B3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row>
  </sheetData>
  <sheetProtection password="83AF" sheet="1" objects="1" scenarios="1"/>
  <mergeCells count="2">
    <mergeCell ref="B8:C8"/>
    <mergeCell ref="D23:M23"/>
  </mergeCells>
  <hyperlinks>
    <hyperlink ref="A31" r:id="rId1" display="Please send comments or suggestions to risingedgeservices@gmail.com"/>
  </hyperlinks>
  <printOptions/>
  <pageMargins left="0.7" right="0.7" top="0.75" bottom="0.75" header="0.5118055555555555" footer="0.511805555555555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B3" sqref="B3:B6"/>
    </sheetView>
  </sheetViews>
  <sheetFormatPr defaultColWidth="8.796875" defaultRowHeight="15"/>
  <cols>
    <col min="1" max="1" width="15.5" style="196" bestFit="1" customWidth="1"/>
    <col min="2" max="16384" width="8.796875" style="196" customWidth="1"/>
  </cols>
  <sheetData>
    <row r="1" ht="15">
      <c r="A1" s="196" t="s">
        <v>173</v>
      </c>
    </row>
    <row r="3" spans="1:2" ht="15">
      <c r="A3" s="196" t="s">
        <v>169</v>
      </c>
      <c r="B3" s="198">
        <v>108</v>
      </c>
    </row>
    <row r="4" spans="1:2" ht="15">
      <c r="A4" s="196" t="s">
        <v>171</v>
      </c>
      <c r="B4" s="198">
        <v>16</v>
      </c>
    </row>
    <row r="5" spans="1:2" ht="15">
      <c r="A5" s="196" t="s">
        <v>170</v>
      </c>
      <c r="B5" s="198">
        <v>96</v>
      </c>
    </row>
    <row r="6" spans="1:2" ht="15">
      <c r="A6" s="196" t="s">
        <v>171</v>
      </c>
      <c r="B6" s="198">
        <v>16</v>
      </c>
    </row>
    <row r="7" spans="1:2" ht="15">
      <c r="A7" s="196" t="s">
        <v>172</v>
      </c>
      <c r="B7" s="197">
        <f>SUM(B3:B6)/4</f>
        <v>59</v>
      </c>
    </row>
  </sheetData>
  <sheetProtection password="83AF"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Lorn MacIlravie</dc:creator>
  <cp:keywords/>
  <dc:description/>
  <cp:lastModifiedBy>Lorn MacIlravie</cp:lastModifiedBy>
  <dcterms:created xsi:type="dcterms:W3CDTF">2018-01-25T15:03:45Z</dcterms:created>
  <dcterms:modified xsi:type="dcterms:W3CDTF">2018-04-19T18:48:47Z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